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340" yWindow="0" windowWidth="25600" windowHeight="14040" tabRatio="231" firstSheet="3" activeTab="3"/>
  </bookViews>
  <sheets>
    <sheet name="Masses (log T)" sheetId="9" r:id="rId1"/>
    <sheet name="Masses" sheetId="8" r:id="rId2"/>
    <sheet name="Activites (log)" sheetId="7" r:id="rId3"/>
    <sheet name="Activites" sheetId="6" r:id="rId4"/>
    <sheet name="Calculs " sheetId="4" r:id="rId5"/>
    <sheet name="Feuil2" sheetId="2" r:id="rId6"/>
    <sheet name="Feuil3" sheetId="3" r:id="rId7"/>
    <sheet name="Feuil1" sheetId="10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G3" i="4"/>
  <c r="I3" i="4"/>
  <c r="J3" i="4"/>
  <c r="F4" i="4"/>
  <c r="G4" i="4"/>
  <c r="H4" i="4"/>
  <c r="I4" i="4"/>
  <c r="J4" i="4"/>
  <c r="E5" i="4"/>
  <c r="F5" i="4"/>
  <c r="G5" i="4"/>
  <c r="H5" i="4"/>
  <c r="I5" i="4"/>
  <c r="J5" i="4"/>
  <c r="E6" i="4"/>
  <c r="F6" i="4"/>
  <c r="G6" i="4"/>
  <c r="I6" i="4"/>
  <c r="J6" i="4"/>
  <c r="D11" i="4"/>
  <c r="D12" i="4"/>
  <c r="E12" i="4"/>
  <c r="D13" i="4"/>
  <c r="E13" i="4"/>
  <c r="F13" i="4"/>
  <c r="D14" i="4"/>
  <c r="E14" i="4"/>
  <c r="F14" i="4"/>
  <c r="G14" i="4"/>
  <c r="C16" i="4"/>
  <c r="B20" i="4"/>
  <c r="C20" i="4"/>
  <c r="D20" i="4"/>
  <c r="E20" i="4"/>
  <c r="G20" i="4"/>
  <c r="H20" i="4"/>
  <c r="I20" i="4"/>
  <c r="J20" i="4"/>
  <c r="B21" i="4"/>
  <c r="C21" i="4"/>
  <c r="D21" i="4"/>
  <c r="E21" i="4"/>
  <c r="G21" i="4"/>
  <c r="H21" i="4"/>
  <c r="I21" i="4"/>
  <c r="J21" i="4"/>
  <c r="A22" i="4"/>
  <c r="B22" i="4"/>
  <c r="C22" i="4"/>
  <c r="D22" i="4"/>
  <c r="E22" i="4"/>
  <c r="G22" i="4"/>
  <c r="H22" i="4"/>
  <c r="I22" i="4"/>
  <c r="J22" i="4"/>
  <c r="A23" i="4"/>
  <c r="B23" i="4"/>
  <c r="C23" i="4"/>
  <c r="D23" i="4"/>
  <c r="E23" i="4"/>
  <c r="G23" i="4"/>
  <c r="H23" i="4"/>
  <c r="I23" i="4"/>
  <c r="J23" i="4"/>
  <c r="A24" i="4"/>
  <c r="B24" i="4"/>
  <c r="C24" i="4"/>
  <c r="D24" i="4"/>
  <c r="E24" i="4"/>
  <c r="G24" i="4"/>
  <c r="H24" i="4"/>
  <c r="I24" i="4"/>
  <c r="J24" i="4"/>
  <c r="A25" i="4"/>
  <c r="B25" i="4"/>
  <c r="C25" i="4"/>
  <c r="D25" i="4"/>
  <c r="E25" i="4"/>
  <c r="G25" i="4"/>
  <c r="H25" i="4"/>
  <c r="I25" i="4"/>
  <c r="J25" i="4"/>
  <c r="A26" i="4"/>
  <c r="B26" i="4"/>
  <c r="C26" i="4"/>
  <c r="D26" i="4"/>
  <c r="E26" i="4"/>
  <c r="G26" i="4"/>
  <c r="H26" i="4"/>
  <c r="I26" i="4"/>
  <c r="J26" i="4"/>
  <c r="A27" i="4"/>
  <c r="B27" i="4"/>
  <c r="C27" i="4"/>
  <c r="D27" i="4"/>
  <c r="E27" i="4"/>
  <c r="G27" i="4"/>
  <c r="H27" i="4"/>
  <c r="I27" i="4"/>
  <c r="J27" i="4"/>
  <c r="A28" i="4"/>
  <c r="B28" i="4"/>
  <c r="C28" i="4"/>
  <c r="D28" i="4"/>
  <c r="E28" i="4"/>
  <c r="G28" i="4"/>
  <c r="H28" i="4"/>
  <c r="I28" i="4"/>
  <c r="J28" i="4"/>
  <c r="A29" i="4"/>
  <c r="B29" i="4"/>
  <c r="C29" i="4"/>
  <c r="D29" i="4"/>
  <c r="E29" i="4"/>
  <c r="G29" i="4"/>
  <c r="H29" i="4"/>
  <c r="I29" i="4"/>
  <c r="J29" i="4"/>
  <c r="A30" i="4"/>
  <c r="B30" i="4"/>
  <c r="C30" i="4"/>
  <c r="D30" i="4"/>
  <c r="E30" i="4"/>
  <c r="G30" i="4"/>
  <c r="H30" i="4"/>
  <c r="I30" i="4"/>
  <c r="J30" i="4"/>
  <c r="A31" i="4"/>
  <c r="B31" i="4"/>
  <c r="C31" i="4"/>
  <c r="D31" i="4"/>
  <c r="E31" i="4"/>
  <c r="G31" i="4"/>
  <c r="H31" i="4"/>
  <c r="I31" i="4"/>
  <c r="J31" i="4"/>
  <c r="A32" i="4"/>
  <c r="B32" i="4"/>
  <c r="C32" i="4"/>
  <c r="D32" i="4"/>
  <c r="E32" i="4"/>
  <c r="G32" i="4"/>
  <c r="H32" i="4"/>
  <c r="I32" i="4"/>
  <c r="J32" i="4"/>
  <c r="A33" i="4"/>
  <c r="B33" i="4"/>
  <c r="C33" i="4"/>
  <c r="D33" i="4"/>
  <c r="E33" i="4"/>
  <c r="G33" i="4"/>
  <c r="H33" i="4"/>
  <c r="I33" i="4"/>
  <c r="J33" i="4"/>
  <c r="A34" i="4"/>
  <c r="B34" i="4"/>
  <c r="C34" i="4"/>
  <c r="D34" i="4"/>
  <c r="E34" i="4"/>
  <c r="G34" i="4"/>
  <c r="H34" i="4"/>
  <c r="I34" i="4"/>
  <c r="J34" i="4"/>
  <c r="A35" i="4"/>
  <c r="B35" i="4"/>
  <c r="C35" i="4"/>
  <c r="D35" i="4"/>
  <c r="E35" i="4"/>
  <c r="G35" i="4"/>
  <c r="H35" i="4"/>
  <c r="I35" i="4"/>
  <c r="J35" i="4"/>
  <c r="A36" i="4"/>
  <c r="B36" i="4"/>
  <c r="C36" i="4"/>
  <c r="D36" i="4"/>
  <c r="E36" i="4"/>
  <c r="G36" i="4"/>
  <c r="H36" i="4"/>
  <c r="I36" i="4"/>
  <c r="J36" i="4"/>
  <c r="A37" i="4"/>
  <c r="B37" i="4"/>
  <c r="C37" i="4"/>
  <c r="D37" i="4"/>
  <c r="E37" i="4"/>
  <c r="G37" i="4"/>
  <c r="H37" i="4"/>
  <c r="I37" i="4"/>
  <c r="J37" i="4"/>
  <c r="A38" i="4"/>
  <c r="B38" i="4"/>
  <c r="C38" i="4"/>
  <c r="D38" i="4"/>
  <c r="E38" i="4"/>
  <c r="G38" i="4"/>
  <c r="H38" i="4"/>
  <c r="I38" i="4"/>
  <c r="J38" i="4"/>
  <c r="A39" i="4"/>
  <c r="B39" i="4"/>
  <c r="C39" i="4"/>
  <c r="D39" i="4"/>
  <c r="E39" i="4"/>
  <c r="G39" i="4"/>
  <c r="H39" i="4"/>
  <c r="I39" i="4"/>
  <c r="J39" i="4"/>
  <c r="A40" i="4"/>
  <c r="B40" i="4"/>
  <c r="C40" i="4"/>
  <c r="D40" i="4"/>
  <c r="E40" i="4"/>
  <c r="G40" i="4"/>
  <c r="H40" i="4"/>
  <c r="I40" i="4"/>
  <c r="J40" i="4"/>
  <c r="A41" i="4"/>
  <c r="B41" i="4"/>
  <c r="C41" i="4"/>
  <c r="D41" i="4"/>
  <c r="E41" i="4"/>
  <c r="G41" i="4"/>
  <c r="H41" i="4"/>
  <c r="I41" i="4"/>
  <c r="J41" i="4"/>
  <c r="C43" i="4"/>
  <c r="B47" i="4"/>
  <c r="C47" i="4"/>
  <c r="D47" i="4"/>
  <c r="E47" i="4"/>
  <c r="G47" i="4"/>
  <c r="H47" i="4"/>
  <c r="I47" i="4"/>
  <c r="J47" i="4"/>
  <c r="A48" i="4"/>
  <c r="B48" i="4"/>
  <c r="C48" i="4"/>
  <c r="D48" i="4"/>
  <c r="E48" i="4"/>
  <c r="G48" i="4"/>
  <c r="H48" i="4"/>
  <c r="I48" i="4"/>
  <c r="J48" i="4"/>
  <c r="A49" i="4"/>
  <c r="B49" i="4"/>
  <c r="C49" i="4"/>
  <c r="D49" i="4"/>
  <c r="E49" i="4"/>
  <c r="G49" i="4"/>
  <c r="H49" i="4"/>
  <c r="I49" i="4"/>
  <c r="J49" i="4"/>
  <c r="A50" i="4"/>
  <c r="B50" i="4"/>
  <c r="C50" i="4"/>
  <c r="D50" i="4"/>
  <c r="E50" i="4"/>
  <c r="G50" i="4"/>
  <c r="H50" i="4"/>
  <c r="I50" i="4"/>
  <c r="J50" i="4"/>
  <c r="A51" i="4"/>
  <c r="B51" i="4"/>
  <c r="C51" i="4"/>
  <c r="D51" i="4"/>
  <c r="E51" i="4"/>
  <c r="G51" i="4"/>
  <c r="H51" i="4"/>
  <c r="I51" i="4"/>
  <c r="J51" i="4"/>
  <c r="A52" i="4"/>
  <c r="B52" i="4"/>
  <c r="C52" i="4"/>
  <c r="D52" i="4"/>
  <c r="E52" i="4"/>
  <c r="G52" i="4"/>
  <c r="H52" i="4"/>
  <c r="I52" i="4"/>
  <c r="J52" i="4"/>
  <c r="A53" i="4"/>
  <c r="B53" i="4"/>
  <c r="C53" i="4"/>
  <c r="D53" i="4"/>
  <c r="E53" i="4"/>
  <c r="G53" i="4"/>
  <c r="H53" i="4"/>
  <c r="I53" i="4"/>
  <c r="J53" i="4"/>
  <c r="A54" i="4"/>
  <c r="B54" i="4"/>
  <c r="C54" i="4"/>
  <c r="D54" i="4"/>
  <c r="E54" i="4"/>
  <c r="G54" i="4"/>
  <c r="H54" i="4"/>
  <c r="I54" i="4"/>
  <c r="J54" i="4"/>
  <c r="A55" i="4"/>
  <c r="B55" i="4"/>
  <c r="C55" i="4"/>
  <c r="D55" i="4"/>
  <c r="E55" i="4"/>
  <c r="G55" i="4"/>
  <c r="H55" i="4"/>
  <c r="I55" i="4"/>
  <c r="J55" i="4"/>
  <c r="A56" i="4"/>
  <c r="B56" i="4"/>
  <c r="C56" i="4"/>
  <c r="D56" i="4"/>
  <c r="E56" i="4"/>
  <c r="G56" i="4"/>
  <c r="H56" i="4"/>
  <c r="I56" i="4"/>
  <c r="J56" i="4"/>
  <c r="A57" i="4"/>
  <c r="B57" i="4"/>
  <c r="C57" i="4"/>
  <c r="D57" i="4"/>
  <c r="E57" i="4"/>
  <c r="G57" i="4"/>
  <c r="H57" i="4"/>
  <c r="I57" i="4"/>
  <c r="J57" i="4"/>
  <c r="A58" i="4"/>
  <c r="B58" i="4"/>
  <c r="C58" i="4"/>
  <c r="D58" i="4"/>
  <c r="E58" i="4"/>
  <c r="G58" i="4"/>
  <c r="H58" i="4"/>
  <c r="I58" i="4"/>
  <c r="J58" i="4"/>
  <c r="A59" i="4"/>
  <c r="B59" i="4"/>
  <c r="C59" i="4"/>
  <c r="D59" i="4"/>
  <c r="E59" i="4"/>
  <c r="G59" i="4"/>
  <c r="H59" i="4"/>
  <c r="I59" i="4"/>
  <c r="J59" i="4"/>
  <c r="A60" i="4"/>
  <c r="B60" i="4"/>
  <c r="C60" i="4"/>
  <c r="D60" i="4"/>
  <c r="E60" i="4"/>
  <c r="G60" i="4"/>
  <c r="H60" i="4"/>
  <c r="I60" i="4"/>
  <c r="J60" i="4"/>
  <c r="A61" i="4"/>
  <c r="B61" i="4"/>
  <c r="C61" i="4"/>
  <c r="D61" i="4"/>
  <c r="E61" i="4"/>
  <c r="G61" i="4"/>
  <c r="H61" i="4"/>
  <c r="I61" i="4"/>
  <c r="J61" i="4"/>
  <c r="A62" i="4"/>
  <c r="B62" i="4"/>
  <c r="C62" i="4"/>
  <c r="D62" i="4"/>
  <c r="E62" i="4"/>
  <c r="G62" i="4"/>
  <c r="H62" i="4"/>
  <c r="I62" i="4"/>
  <c r="J62" i="4"/>
  <c r="A63" i="4"/>
  <c r="B63" i="4"/>
  <c r="C63" i="4"/>
  <c r="D63" i="4"/>
  <c r="E63" i="4"/>
  <c r="G63" i="4"/>
  <c r="H63" i="4"/>
  <c r="I63" i="4"/>
  <c r="J63" i="4"/>
  <c r="A64" i="4"/>
  <c r="B64" i="4"/>
  <c r="C64" i="4"/>
  <c r="D64" i="4"/>
  <c r="E64" i="4"/>
  <c r="G64" i="4"/>
  <c r="H64" i="4"/>
  <c r="I64" i="4"/>
  <c r="J64" i="4"/>
  <c r="A65" i="4"/>
  <c r="B65" i="4"/>
  <c r="C65" i="4"/>
  <c r="D65" i="4"/>
  <c r="E65" i="4"/>
  <c r="G65" i="4"/>
  <c r="H65" i="4"/>
  <c r="I65" i="4"/>
  <c r="J65" i="4"/>
  <c r="A66" i="4"/>
  <c r="B66" i="4"/>
  <c r="C66" i="4"/>
  <c r="D66" i="4"/>
  <c r="E66" i="4"/>
  <c r="G66" i="4"/>
  <c r="H66" i="4"/>
  <c r="I66" i="4"/>
  <c r="J66" i="4"/>
  <c r="C14" i="2"/>
  <c r="D14" i="2"/>
  <c r="H14" i="2"/>
  <c r="C15" i="2"/>
  <c r="D15" i="2"/>
  <c r="E15" i="2"/>
  <c r="H15" i="2"/>
  <c r="C16" i="2"/>
  <c r="D16" i="2"/>
  <c r="E16" i="2"/>
  <c r="F16" i="2"/>
  <c r="H16" i="2"/>
  <c r="C17" i="2"/>
  <c r="D17" i="2"/>
  <c r="E17" i="2"/>
  <c r="F17" i="2"/>
  <c r="G17" i="2"/>
  <c r="H17" i="2"/>
</calcChain>
</file>

<file path=xl/sharedStrings.xml><?xml version="1.0" encoding="utf-8"?>
<sst xmlns="http://schemas.openxmlformats.org/spreadsheetml/2006/main" count="48" uniqueCount="35">
  <si>
    <t>Père</t>
  </si>
  <si>
    <t>Fils</t>
  </si>
  <si>
    <t>Petit-fils</t>
  </si>
  <si>
    <t>Nom</t>
  </si>
  <si>
    <t>Pu-241</t>
  </si>
  <si>
    <t>Am-241</t>
  </si>
  <si>
    <t>Np-237</t>
  </si>
  <si>
    <t>A</t>
  </si>
  <si>
    <t>Pa-233</t>
  </si>
  <si>
    <t>Kg(0)</t>
  </si>
  <si>
    <t>T(sec)</t>
  </si>
  <si>
    <t>Z</t>
  </si>
  <si>
    <t>Ar. petit-fils</t>
  </si>
  <si>
    <t>N(0)</t>
  </si>
  <si>
    <t>a(0) Bq</t>
  </si>
  <si>
    <r>
      <t>l</t>
    </r>
    <r>
      <rPr>
        <sz val="10"/>
        <rFont val="Verdana"/>
      </rPr>
      <t>(sec-1)</t>
    </r>
  </si>
  <si>
    <t>TBq</t>
  </si>
  <si>
    <t>t(Ans)</t>
  </si>
  <si>
    <t>Table des activités en Bq</t>
  </si>
  <si>
    <t>Table des masses</t>
  </si>
  <si>
    <t>Table des coefficients g des exponentielles</t>
  </si>
  <si>
    <t>i</t>
  </si>
  <si>
    <t>n</t>
  </si>
  <si>
    <t>A=1000</t>
  </si>
  <si>
    <r>
      <t>a=</t>
    </r>
    <r>
      <rPr>
        <sz val="10"/>
        <rFont val="Symbol"/>
      </rPr>
      <t>l</t>
    </r>
    <r>
      <rPr>
        <sz val="10"/>
        <rFont val="Verdana"/>
      </rPr>
      <t>(0)</t>
    </r>
  </si>
  <si>
    <r>
      <t>b=</t>
    </r>
    <r>
      <rPr>
        <sz val="10"/>
        <rFont val="Symbol"/>
      </rPr>
      <t>l</t>
    </r>
    <r>
      <rPr>
        <sz val="10"/>
        <rFont val="Verdana"/>
      </rPr>
      <t>(1)</t>
    </r>
  </si>
  <si>
    <r>
      <t>c=</t>
    </r>
    <r>
      <rPr>
        <sz val="10"/>
        <rFont val="Symbol"/>
      </rPr>
      <t>l</t>
    </r>
    <r>
      <rPr>
        <sz val="10"/>
        <rFont val="Verdana"/>
      </rPr>
      <t>(2)</t>
    </r>
  </si>
  <si>
    <r>
      <t>d=</t>
    </r>
    <r>
      <rPr>
        <sz val="10"/>
        <rFont val="Symbol"/>
      </rPr>
      <t>l</t>
    </r>
    <r>
      <rPr>
        <sz val="10"/>
        <rFont val="Verdana"/>
      </rPr>
      <t>(3)</t>
    </r>
  </si>
  <si>
    <r>
      <t>e=</t>
    </r>
    <r>
      <rPr>
        <sz val="10"/>
        <rFont val="Symbol"/>
      </rPr>
      <t>l</t>
    </r>
    <r>
      <rPr>
        <sz val="10"/>
        <rFont val="Verdana"/>
      </rPr>
      <t>(4)</t>
    </r>
  </si>
  <si>
    <t>T(ans)</t>
  </si>
  <si>
    <t>Unité d'activité</t>
  </si>
  <si>
    <t>Echelle de temps lineaire</t>
  </si>
  <si>
    <t>ans</t>
  </si>
  <si>
    <t>Echelle log. temps : T max</t>
  </si>
  <si>
    <t>Unité 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</si>
</sst>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E+00;\뒤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Symbo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/>
    <xf numFmtId="11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1" fontId="0" fillId="0" borderId="14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1" fontId="0" fillId="4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Masses de Pu-241, Am-241, Np-237</a:t>
            </a:r>
          </a:p>
        </c:rich>
      </c:tx>
      <c:layout>
        <c:manualLayout>
          <c:xMode val="edge"/>
          <c:yMode val="edge"/>
          <c:x val="0.302068965517241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4827586206896"/>
          <c:y val="0.17420814479638"/>
          <c:w val="0.791724137931034"/>
          <c:h val="0.712669683257919"/>
        </c:manualLayout>
      </c:layout>
      <c:scatterChart>
        <c:scatterStyle val="smoothMarker"/>
        <c:varyColors val="0"/>
        <c:ser>
          <c:idx val="0"/>
          <c:order val="0"/>
          <c:tx>
            <c:v>Pu-241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'!$G$48:$G$66</c:f>
              <c:numCache>
                <c:formatCode>0.00</c:formatCode>
                <c:ptCount val="19"/>
                <c:pt idx="0">
                  <c:v>1.184285672769781</c:v>
                </c:pt>
                <c:pt idx="1">
                  <c:v>1.178598785485523</c:v>
                </c:pt>
                <c:pt idx="2">
                  <c:v>1.161701448815101</c:v>
                </c:pt>
                <c:pt idx="3">
                  <c:v>1.134075845528659</c:v>
                </c:pt>
                <c:pt idx="4">
                  <c:v>1.08077985160634</c:v>
                </c:pt>
                <c:pt idx="5">
                  <c:v>0.935454475964081</c:v>
                </c:pt>
                <c:pt idx="6">
                  <c:v>0.735357207227927</c:v>
                </c:pt>
                <c:pt idx="7">
                  <c:v>0.454411951447106</c:v>
                </c:pt>
                <c:pt idx="8">
                  <c:v>0.107226942086621</c:v>
                </c:pt>
                <c:pt idx="9">
                  <c:v>0.00966186311701479</c:v>
                </c:pt>
                <c:pt idx="10">
                  <c:v>7.84467217579251E-5</c:v>
                </c:pt>
                <c:pt idx="11">
                  <c:v>4.19871654451162E-11</c:v>
                </c:pt>
                <c:pt idx="12">
                  <c:v>1.48144711102148E-21</c:v>
                </c:pt>
                <c:pt idx="13">
                  <c:v>1.84427356533939E-42</c:v>
                </c:pt>
                <c:pt idx="14">
                  <c:v>3.5583028739864E-105</c:v>
                </c:pt>
                <c:pt idx="15">
                  <c:v>2.62328319748945E-22</c:v>
                </c:pt>
                <c:pt idx="16">
                  <c:v>2.62328319748945E-22</c:v>
                </c:pt>
                <c:pt idx="17">
                  <c:v>2.62328319748945E-22</c:v>
                </c:pt>
                <c:pt idx="18">
                  <c:v>2.62328319748945E-22</c:v>
                </c:pt>
              </c:numCache>
            </c:numRef>
          </c:yVal>
          <c:smooth val="1"/>
        </c:ser>
        <c:ser>
          <c:idx val="1"/>
          <c:order val="1"/>
          <c:tx>
            <c:v>Am-241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'!$A$48:$A$68</c:f>
              <c:numCache>
                <c:formatCode>0.00</c:formatCode>
                <c:ptCount val="21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'!$H$48:$H$66</c:f>
              <c:numCache>
                <c:formatCode>0.0</c:formatCode>
                <c:ptCount val="19"/>
                <c:pt idx="0">
                  <c:v>0.225678621709783</c:v>
                </c:pt>
                <c:pt idx="1">
                  <c:v>0.23132889587115</c:v>
                </c:pt>
                <c:pt idx="2">
                  <c:v>0.248110992760822</c:v>
                </c:pt>
                <c:pt idx="3">
                  <c:v>0.275526796345478</c:v>
                </c:pt>
                <c:pt idx="4">
                  <c:v>0.328338655076886</c:v>
                </c:pt>
                <c:pt idx="5">
                  <c:v>0.471732442101245</c:v>
                </c:pt>
                <c:pt idx="6">
                  <c:v>0.667234181489196</c:v>
                </c:pt>
                <c:pt idx="7">
                  <c:v>0.935156445906664</c:v>
                </c:pt>
                <c:pt idx="8">
                  <c:v>1.22834736850893</c:v>
                </c:pt>
                <c:pt idx="9">
                  <c:v>1.226163181215616</c:v>
                </c:pt>
                <c:pt idx="10">
                  <c:v>1.053062635573909</c:v>
                </c:pt>
                <c:pt idx="11">
                  <c:v>0.651221908906354</c:v>
                </c:pt>
                <c:pt idx="12">
                  <c:v>0.292279189150183</c:v>
                </c:pt>
                <c:pt idx="13">
                  <c:v>0.0588756446599736</c:v>
                </c:pt>
                <c:pt idx="14">
                  <c:v>0.00048122592989752</c:v>
                </c:pt>
                <c:pt idx="15">
                  <c:v>1.59601852745588E-7</c:v>
                </c:pt>
                <c:pt idx="16">
                  <c:v>1.75556027465591E-14</c:v>
                </c:pt>
                <c:pt idx="17">
                  <c:v>2.33641074055667E-35</c:v>
                </c:pt>
                <c:pt idx="18">
                  <c:v>3.76216878621837E-70</c:v>
                </c:pt>
              </c:numCache>
            </c:numRef>
          </c:yVal>
          <c:smooth val="1"/>
        </c:ser>
        <c:ser>
          <c:idx val="2"/>
          <c:order val="2"/>
          <c:tx>
            <c:v>Np-237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'!$A$48:$A$68</c:f>
              <c:numCache>
                <c:formatCode>0.00</c:formatCode>
                <c:ptCount val="21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'!$I$48:$I$678</c:f>
              <c:numCache>
                <c:formatCode>0.0</c:formatCode>
                <c:ptCount val="631"/>
                <c:pt idx="0">
                  <c:v>0.4300350989694</c:v>
                </c:pt>
                <c:pt idx="1">
                  <c:v>0.430071090476164</c:v>
                </c:pt>
                <c:pt idx="2">
                  <c:v>0.430184375767938</c:v>
                </c:pt>
                <c:pt idx="3">
                  <c:v>0.430390623632109</c:v>
                </c:pt>
                <c:pt idx="4">
                  <c:v>0.430866583905571</c:v>
                </c:pt>
                <c:pt idx="5">
                  <c:v>0.432765693419759</c:v>
                </c:pt>
                <c:pt idx="6">
                  <c:v>0.437284244105454</c:v>
                </c:pt>
                <c:pt idx="7">
                  <c:v>0.450089650264819</c:v>
                </c:pt>
                <c:pt idx="8">
                  <c:v>0.503182948892207</c:v>
                </c:pt>
                <c:pt idx="9">
                  <c:v>0.601267681225008</c:v>
                </c:pt>
                <c:pt idx="10">
                  <c:v>0.780897085449159</c:v>
                </c:pt>
                <c:pt idx="11">
                  <c:v>1.176048790008688</c:v>
                </c:pt>
                <c:pt idx="12">
                  <c:v>1.528811150828332</c:v>
                </c:pt>
                <c:pt idx="13">
                  <c:v>1.757798981807863</c:v>
                </c:pt>
                <c:pt idx="14">
                  <c:v>1.81347233873754</c:v>
                </c:pt>
                <c:pt idx="15">
                  <c:v>1.811010203708545</c:v>
                </c:pt>
                <c:pt idx="16">
                  <c:v>1.805153977692594</c:v>
                </c:pt>
                <c:pt idx="17">
                  <c:v>1.787698212941888</c:v>
                </c:pt>
                <c:pt idx="18">
                  <c:v>1.758979568381809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230056"/>
        <c:axId val="-2094223576"/>
      </c:scatterChart>
      <c:valAx>
        <c:axId val="-2094230056"/>
        <c:scaling>
          <c:logBase val="10.0"/>
          <c:orientation val="minMax"/>
          <c:max val="10000.0"/>
          <c:min val="1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33CCCC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Ans</a:t>
                </a:r>
              </a:p>
            </c:rich>
          </c:tx>
          <c:layout>
            <c:manualLayout>
              <c:xMode val="edge"/>
              <c:yMode val="edge"/>
              <c:x val="0.452413793103448"/>
              <c:y val="0.9389140271493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223576"/>
        <c:crosses val="autoZero"/>
        <c:crossBetween val="midCat"/>
      </c:valAx>
      <c:valAx>
        <c:axId val="-209422357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minorGridlines>
          <c:spPr>
            <a:ln w="3175">
              <a:solidFill>
                <a:srgbClr val="33CCCC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Masses en kg</a:t>
                </a:r>
              </a:p>
            </c:rich>
          </c:tx>
          <c:layout>
            <c:manualLayout>
              <c:xMode val="edge"/>
              <c:yMode val="edge"/>
              <c:x val="0.0137931034482759"/>
              <c:y val="0.4389140271493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230056"/>
        <c:crossesAt val="1.0"/>
        <c:crossBetween val="midCat"/>
        <c:majorUnit val="1.0"/>
        <c:minorUnit val="0.2"/>
      </c:valAx>
      <c:spPr>
        <a:solidFill>
          <a:srgbClr val="CCFFFF"/>
        </a:solidFill>
        <a:ln w="12700">
          <a:solidFill>
            <a:srgbClr val="FFFF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137931034483"/>
          <c:y val="0.101809954751131"/>
          <c:w val="0.289655172413793"/>
          <c:h val="0.0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Masses de Pu-241, Am-241, Np-237</a:t>
            </a:r>
          </a:p>
        </c:rich>
      </c:tx>
      <c:layout>
        <c:manualLayout>
          <c:xMode val="edge"/>
          <c:yMode val="edge"/>
          <c:x val="0.302068965517241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31034482758621"/>
          <c:y val="0.176470588235294"/>
          <c:w val="0.899310344827586"/>
          <c:h val="0.712669683257919"/>
        </c:manualLayout>
      </c:layout>
      <c:scatterChart>
        <c:scatterStyle val="smoothMarker"/>
        <c:varyColors val="0"/>
        <c:ser>
          <c:idx val="0"/>
          <c:order val="0"/>
          <c:tx>
            <c:v>Pu-241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'!$G$21:$G$41</c:f>
              <c:numCache>
                <c:formatCode>0.00</c:formatCode>
                <c:ptCount val="21"/>
                <c:pt idx="0">
                  <c:v>1.19</c:v>
                </c:pt>
                <c:pt idx="1">
                  <c:v>0.935454475964081</c:v>
                </c:pt>
                <c:pt idx="2">
                  <c:v>0.735357207227927</c:v>
                </c:pt>
                <c:pt idx="3">
                  <c:v>0.578061504986395</c:v>
                </c:pt>
                <c:pt idx="4">
                  <c:v>0.454411951447106</c:v>
                </c:pt>
                <c:pt idx="5">
                  <c:v>0.357211507489721</c:v>
                </c:pt>
                <c:pt idx="6">
                  <c:v>0.280802608022804</c:v>
                </c:pt>
                <c:pt idx="7">
                  <c:v>0.220737862636403</c:v>
                </c:pt>
                <c:pt idx="8">
                  <c:v>0.173521194636947</c:v>
                </c:pt>
                <c:pt idx="9">
                  <c:v>0.136404351426695</c:v>
                </c:pt>
                <c:pt idx="10">
                  <c:v>0.107226942086621</c:v>
                </c:pt>
                <c:pt idx="11">
                  <c:v>0.0842906915284631</c:v>
                </c:pt>
                <c:pt idx="12">
                  <c:v>0.0662605921616877</c:v>
                </c:pt>
                <c:pt idx="13">
                  <c:v>0.0520871995946902</c:v>
                </c:pt>
                <c:pt idx="14">
                  <c:v>0.0409455495809138</c:v>
                </c:pt>
                <c:pt idx="15">
                  <c:v>0.0321871408624159</c:v>
                </c:pt>
                <c:pt idx="16">
                  <c:v>0.0253021890657423</c:v>
                </c:pt>
                <c:pt idx="17">
                  <c:v>0.0198899546329732</c:v>
                </c:pt>
                <c:pt idx="18">
                  <c:v>0.0156354177211237</c:v>
                </c:pt>
                <c:pt idx="19">
                  <c:v>0.0122909424292381</c:v>
                </c:pt>
                <c:pt idx="20">
                  <c:v>0.00966186311701479</c:v>
                </c:pt>
              </c:numCache>
            </c:numRef>
          </c:yVal>
          <c:smooth val="1"/>
        </c:ser>
        <c:ser>
          <c:idx val="1"/>
          <c:order val="1"/>
          <c:tx>
            <c:v>Am-241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'!$H$21:$H$41</c:f>
              <c:numCache>
                <c:formatCode>0.0</c:formatCode>
                <c:ptCount val="21"/>
                <c:pt idx="0">
                  <c:v>0.22</c:v>
                </c:pt>
                <c:pt idx="1">
                  <c:v>0.471732442101245</c:v>
                </c:pt>
                <c:pt idx="2">
                  <c:v>0.667234181489196</c:v>
                </c:pt>
                <c:pt idx="3">
                  <c:v>0.818552203553364</c:v>
                </c:pt>
                <c:pt idx="4">
                  <c:v>0.935156445906664</c:v>
                </c:pt>
                <c:pt idx="5">
                  <c:v>1.02449103991331</c:v>
                </c:pt>
                <c:pt idx="6">
                  <c:v>1.092407639548574</c:v>
                </c:pt>
                <c:pt idx="7">
                  <c:v>1.143506059558459</c:v>
                </c:pt>
                <c:pt idx="8">
                  <c:v>1.181402049812498</c:v>
                </c:pt>
                <c:pt idx="9">
                  <c:v>1.208937791695058</c:v>
                </c:pt>
                <c:pt idx="10">
                  <c:v>1.22834736850893</c:v>
                </c:pt>
                <c:pt idx="11">
                  <c:v>1.241386841121237</c:v>
                </c:pt>
                <c:pt idx="12">
                  <c:v>1.249436499924967</c:v>
                </c:pt>
                <c:pt idx="13">
                  <c:v>1.253581244708049</c:v>
                </c:pt>
                <c:pt idx="14">
                  <c:v>1.254673770953806</c:v>
                </c:pt>
                <c:pt idx="15">
                  <c:v>1.253384240342513</c:v>
                </c:pt>
                <c:pt idx="16">
                  <c:v>1.250239326534933</c:v>
                </c:pt>
                <c:pt idx="17">
                  <c:v>1.245652908905453</c:v>
                </c:pt>
                <c:pt idx="18">
                  <c:v>1.23995020076024</c:v>
                </c:pt>
                <c:pt idx="19">
                  <c:v>1.233386716429097</c:v>
                </c:pt>
                <c:pt idx="20">
                  <c:v>1.226163181215616</c:v>
                </c:pt>
              </c:numCache>
            </c:numRef>
          </c:yVal>
          <c:smooth val="1"/>
        </c:ser>
        <c:ser>
          <c:idx val="2"/>
          <c:order val="2"/>
          <c:tx>
            <c:v>Np-237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'!$I$21:$I$41</c:f>
              <c:numCache>
                <c:formatCode>0.0</c:formatCode>
                <c:ptCount val="21"/>
                <c:pt idx="0">
                  <c:v>0.430000000000383</c:v>
                </c:pt>
                <c:pt idx="1">
                  <c:v>0.432765693419759</c:v>
                </c:pt>
                <c:pt idx="2">
                  <c:v>0.437284244105454</c:v>
                </c:pt>
                <c:pt idx="3">
                  <c:v>0.443161996892228</c:v>
                </c:pt>
                <c:pt idx="4">
                  <c:v>0.450089650264819</c:v>
                </c:pt>
                <c:pt idx="5">
                  <c:v>0.457824211599785</c:v>
                </c:pt>
                <c:pt idx="6">
                  <c:v>0.466174812259534</c:v>
                </c:pt>
                <c:pt idx="7">
                  <c:v>0.474991556901103</c:v>
                </c:pt>
                <c:pt idx="8">
                  <c:v>0.484156757969522</c:v>
                </c:pt>
                <c:pt idx="9">
                  <c:v>0.49357804517567</c:v>
                </c:pt>
                <c:pt idx="10">
                  <c:v>0.503182948892207</c:v>
                </c:pt>
                <c:pt idx="11">
                  <c:v>0.51291464219085</c:v>
                </c:pt>
                <c:pt idx="12">
                  <c:v>0.522728593683118</c:v>
                </c:pt>
                <c:pt idx="13">
                  <c:v>0.532589936340163</c:v>
                </c:pt>
                <c:pt idx="14">
                  <c:v>0.542471399140948</c:v>
                </c:pt>
                <c:pt idx="15">
                  <c:v>0.552351681157599</c:v>
                </c:pt>
                <c:pt idx="16">
                  <c:v>0.56221417343885</c:v>
                </c:pt>
                <c:pt idx="17">
                  <c:v>0.572045954296189</c:v>
                </c:pt>
                <c:pt idx="18">
                  <c:v>0.581836999510742</c:v>
                </c:pt>
                <c:pt idx="19">
                  <c:v>0.591579561488485</c:v>
                </c:pt>
                <c:pt idx="20">
                  <c:v>0.601267681225008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163336"/>
        <c:axId val="-2094157256"/>
      </c:scatterChart>
      <c:valAx>
        <c:axId val="-2094163336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Ans</a:t>
                </a:r>
              </a:p>
            </c:rich>
          </c:tx>
          <c:layout>
            <c:manualLayout>
              <c:xMode val="edge"/>
              <c:yMode val="edge"/>
              <c:x val="0.504827586206897"/>
              <c:y val="0.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157256"/>
        <c:crosses val="autoZero"/>
        <c:crossBetween val="midCat"/>
        <c:majorUnit val="10.0"/>
        <c:minorUnit val="2.0"/>
      </c:valAx>
      <c:valAx>
        <c:axId val="-2094157256"/>
        <c:scaling>
          <c:orientation val="minMax"/>
        </c:scaling>
        <c:delete val="0"/>
        <c:axPos val="l"/>
        <c:majorGridlines>
          <c:spPr>
            <a:ln w="3175">
              <a:solidFill>
                <a:srgbClr val="00CCFF"/>
              </a:solidFill>
              <a:prstDash val="solid"/>
            </a:ln>
          </c:spPr>
        </c:majorGridlines>
        <c:minorGridlines>
          <c:spPr>
            <a:ln w="3175">
              <a:solidFill>
                <a:srgbClr val="33CCCC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Masses en kg</a:t>
                </a:r>
              </a:p>
            </c:rich>
          </c:tx>
          <c:layout>
            <c:manualLayout>
              <c:xMode val="edge"/>
              <c:yMode val="edge"/>
              <c:x val="0.0124137931034483"/>
              <c:y val="0.4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163336"/>
        <c:crosses val="autoZero"/>
        <c:crossBetween val="midCat"/>
        <c:majorUnit val="0.5"/>
        <c:minorUnit val="0.1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6551724137931"/>
          <c:y val="0.101809954751131"/>
          <c:w val="0.292413793103448"/>
          <c:h val="0.0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Activités à 100 ans du Pu-241 et descendants </a:t>
            </a:r>
          </a:p>
        </c:rich>
      </c:tx>
      <c:layout>
        <c:manualLayout>
          <c:xMode val="edge"/>
          <c:yMode val="edge"/>
          <c:x val="0.282758620689655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1724137931034"/>
          <c:y val="0.110859728506787"/>
          <c:w val="0.76551724137931"/>
          <c:h val="0.778280542986425"/>
        </c:manualLayout>
      </c:layout>
      <c:scatterChart>
        <c:scatterStyle val="smoothMarker"/>
        <c:varyColors val="0"/>
        <c:ser>
          <c:idx val="0"/>
          <c:order val="0"/>
          <c:tx>
            <c:v>Pu-241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'!$B$48:$B$66</c:f>
              <c:numCache>
                <c:formatCode>0.00E+00</c:formatCode>
                <c:ptCount val="19"/>
                <c:pt idx="0">
                  <c:v>4514.517052154994</c:v>
                </c:pt>
                <c:pt idx="1">
                  <c:v>4492.838541463886</c:v>
                </c:pt>
                <c:pt idx="2">
                  <c:v>4428.42560775321</c:v>
                </c:pt>
                <c:pt idx="3">
                  <c:v>4323.116339913276</c:v>
                </c:pt>
                <c:pt idx="4">
                  <c:v>4119.951107988162</c:v>
                </c:pt>
                <c:pt idx="5">
                  <c:v>3565.968313521522</c:v>
                </c:pt>
                <c:pt idx="6">
                  <c:v>2803.194134478818</c:v>
                </c:pt>
                <c:pt idx="7">
                  <c:v>1732.226058863908</c:v>
                </c:pt>
                <c:pt idx="8">
                  <c:v>408.7509201798724</c:v>
                </c:pt>
                <c:pt idx="9">
                  <c:v>36.83118592099184</c:v>
                </c:pt>
                <c:pt idx="10">
                  <c:v>0.299040232610038</c:v>
                </c:pt>
                <c:pt idx="11">
                  <c:v>1.60055786143482E-7</c:v>
                </c:pt>
                <c:pt idx="12">
                  <c:v>5.64730149012985E-18</c:v>
                </c:pt>
                <c:pt idx="13">
                  <c:v>7.03040208203373E-39</c:v>
                </c:pt>
                <c:pt idx="14">
                  <c:v>1.35643108505852E-101</c:v>
                </c:pt>
                <c:pt idx="15">
                  <c:v>1.0E-18</c:v>
                </c:pt>
                <c:pt idx="16">
                  <c:v>1.0E-18</c:v>
                </c:pt>
                <c:pt idx="17">
                  <c:v>1.0E-18</c:v>
                </c:pt>
                <c:pt idx="18">
                  <c:v>1.0E-18</c:v>
                </c:pt>
              </c:numCache>
            </c:numRef>
          </c:yVal>
          <c:smooth val="1"/>
        </c:ser>
        <c:ser>
          <c:idx val="1"/>
          <c:order val="1"/>
          <c:tx>
            <c:v>Am-241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'!$C$48:$C$66</c:f>
              <c:numCache>
                <c:formatCode>0.00E+00</c:formatCode>
                <c:ptCount val="19"/>
                <c:pt idx="0">
                  <c:v>28.63658463414131</c:v>
                </c:pt>
                <c:pt idx="1">
                  <c:v>29.35355353887056</c:v>
                </c:pt>
                <c:pt idx="2">
                  <c:v>31.48305049466756</c:v>
                </c:pt>
                <c:pt idx="3">
                  <c:v>34.96186906293507</c:v>
                </c:pt>
                <c:pt idx="4">
                  <c:v>41.66321831254684</c:v>
                </c:pt>
                <c:pt idx="5">
                  <c:v>59.85859848202375</c:v>
                </c:pt>
                <c:pt idx="6">
                  <c:v>84.66600852241478</c:v>
                </c:pt>
                <c:pt idx="7">
                  <c:v>118.6629309700718</c:v>
                </c:pt>
                <c:pt idx="8">
                  <c:v>155.8662185719376</c:v>
                </c:pt>
                <c:pt idx="9">
                  <c:v>155.5890648751987</c:v>
                </c:pt>
                <c:pt idx="10">
                  <c:v>133.6241645761383</c:v>
                </c:pt>
                <c:pt idx="11">
                  <c:v>82.63419533811968</c:v>
                </c:pt>
                <c:pt idx="12">
                  <c:v>37.08759683786462</c:v>
                </c:pt>
                <c:pt idx="13">
                  <c:v>7.470789073513173</c:v>
                </c:pt>
                <c:pt idx="14">
                  <c:v>0.0610632365850552</c:v>
                </c:pt>
                <c:pt idx="15">
                  <c:v>2.02520377397212E-5</c:v>
                </c:pt>
                <c:pt idx="16">
                  <c:v>2.22764788284512E-12</c:v>
                </c:pt>
                <c:pt idx="17">
                  <c:v>2.96469481270176E-33</c:v>
                </c:pt>
                <c:pt idx="18">
                  <c:v>4.77385336892974E-68</c:v>
                </c:pt>
              </c:numCache>
            </c:numRef>
          </c:yVal>
          <c:smooth val="1"/>
        </c:ser>
        <c:ser>
          <c:idx val="2"/>
          <c:order val="2"/>
          <c:tx>
            <c:v>Np-237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 formatCode="0">
                  <c:v>10.0</c:v>
                </c:pt>
                <c:pt idx="7" formatCode="General">
                  <c:v>20.0</c:v>
                </c:pt>
                <c:pt idx="8" formatCode="General">
                  <c:v>50.0</c:v>
                </c:pt>
                <c:pt idx="9" formatCode="0">
                  <c:v>100.0</c:v>
                </c:pt>
                <c:pt idx="10" formatCode="General">
                  <c:v>200.0</c:v>
                </c:pt>
                <c:pt idx="11" formatCode="General">
                  <c:v>500.0</c:v>
                </c:pt>
                <c:pt idx="12" formatCode="0">
                  <c:v>1000.0</c:v>
                </c:pt>
                <c:pt idx="13" formatCode="General">
                  <c:v>2000.0</c:v>
                </c:pt>
                <c:pt idx="14" formatCode="General">
                  <c:v>5000.0</c:v>
                </c:pt>
                <c:pt idx="15" formatCode="0">
                  <c:v>10000.0</c:v>
                </c:pt>
                <c:pt idx="16" formatCode="General">
                  <c:v>20000.0</c:v>
                </c:pt>
                <c:pt idx="17" formatCode="General">
                  <c:v>50000.0</c:v>
                </c:pt>
                <c:pt idx="18" formatCode="0">
                  <c:v>100000.0</c:v>
                </c:pt>
              </c:numCache>
            </c:numRef>
          </c:xVal>
          <c:yVal>
            <c:numRef>
              <c:f>'Calculs '!$D$48:$D$66</c:f>
              <c:numCache>
                <c:formatCode>0.00E+00</c:formatCode>
                <c:ptCount val="19"/>
                <c:pt idx="0">
                  <c:v>0.0112169850594596</c:v>
                </c:pt>
                <c:pt idx="1">
                  <c:v>0.0112179238576987</c:v>
                </c:pt>
                <c:pt idx="2">
                  <c:v>0.011220878777956</c:v>
                </c:pt>
                <c:pt idx="3">
                  <c:v>0.011226258523043</c:v>
                </c:pt>
                <c:pt idx="4">
                  <c:v>0.0112386734149649</c:v>
                </c:pt>
                <c:pt idx="5">
                  <c:v>0.0112882095646838</c:v>
                </c:pt>
                <c:pt idx="6">
                  <c:v>0.0114060709105444</c:v>
                </c:pt>
                <c:pt idx="7">
                  <c:v>0.0117400856221672</c:v>
                </c:pt>
                <c:pt idx="8">
                  <c:v>0.0131249649933815</c:v>
                </c:pt>
                <c:pt idx="9">
                  <c:v>0.015683395641891</c:v>
                </c:pt>
                <c:pt idx="10">
                  <c:v>0.0203688279432328</c:v>
                </c:pt>
                <c:pt idx="11">
                  <c:v>0.0306759186362639</c:v>
                </c:pt>
                <c:pt idx="12">
                  <c:v>0.039877330661321</c:v>
                </c:pt>
                <c:pt idx="13">
                  <c:v>0.0458502223742327</c:v>
                </c:pt>
                <c:pt idx="14">
                  <c:v>0.0473023996834494</c:v>
                </c:pt>
                <c:pt idx="15">
                  <c:v>0.04723817764227</c:v>
                </c:pt>
                <c:pt idx="16">
                  <c:v>0.0470854245300632</c:v>
                </c:pt>
                <c:pt idx="17">
                  <c:v>0.0466301104106358</c:v>
                </c:pt>
                <c:pt idx="18">
                  <c:v>0.0458810166558927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300120"/>
        <c:axId val="-2094511800"/>
      </c:scatterChart>
      <c:valAx>
        <c:axId val="-2094300120"/>
        <c:scaling>
          <c:logBase val="10.0"/>
          <c:orientation val="minMax"/>
          <c:max val="10000.0"/>
          <c:min val="1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9CC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Ans</a:t>
                </a:r>
              </a:p>
            </c:rich>
          </c:tx>
          <c:layout>
            <c:manualLayout>
              <c:xMode val="edge"/>
              <c:yMode val="edge"/>
              <c:x val="0.459310344827586"/>
              <c:y val="0.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511800"/>
        <c:crossesAt val="1.0"/>
        <c:crossBetween val="midCat"/>
      </c:valAx>
      <c:valAx>
        <c:axId val="-2094511800"/>
        <c:scaling>
          <c:logBase val="10.0"/>
          <c:orientation val="minMax"/>
          <c:max val="10000.0"/>
          <c:min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Activités en Tbq (échelle log)</a:t>
                </a:r>
              </a:p>
            </c:rich>
          </c:tx>
          <c:layout>
            <c:manualLayout>
              <c:xMode val="edge"/>
              <c:yMode val="edge"/>
              <c:x val="0.0124137931034483"/>
              <c:y val="0.3280542986425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94300120"/>
        <c:crossesAt val="1.0"/>
        <c:crossBetween val="midCat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2413793103448"/>
          <c:y val="0.194570135746606"/>
          <c:w val="0.135172413793103"/>
          <c:h val="0.158371040723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Activités à 100 ans du Pu-241 et descendants </a:t>
            </a:r>
          </a:p>
        </c:rich>
      </c:tx>
      <c:layout>
        <c:manualLayout>
          <c:xMode val="edge"/>
          <c:yMode val="edge"/>
          <c:x val="0.248275862068965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24137931034482"/>
          <c:y val="0.131221719457014"/>
          <c:w val="0.766896551724138"/>
          <c:h val="0.757918552036199"/>
        </c:manualLayout>
      </c:layout>
      <c:scatterChart>
        <c:scatterStyle val="smoothMarker"/>
        <c:varyColors val="0"/>
        <c:ser>
          <c:idx val="0"/>
          <c:order val="0"/>
          <c:tx>
            <c:v>Pu-241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'!$B$21:$B$41</c:f>
              <c:numCache>
                <c:formatCode>0.00E+00</c:formatCode>
                <c:ptCount val="21"/>
                <c:pt idx="0">
                  <c:v>4536.300164385072</c:v>
                </c:pt>
                <c:pt idx="1">
                  <c:v>3565.968313521522</c:v>
                </c:pt>
                <c:pt idx="2">
                  <c:v>2803.194134478818</c:v>
                </c:pt>
                <c:pt idx="3">
                  <c:v>2203.580252180225</c:v>
                </c:pt>
                <c:pt idx="4">
                  <c:v>1732.226058863908</c:v>
                </c:pt>
                <c:pt idx="5">
                  <c:v>1361.696319450304</c:v>
                </c:pt>
                <c:pt idx="6">
                  <c:v>1070.424299944203</c:v>
                </c:pt>
                <c:pt idx="7">
                  <c:v>841.4564727424564</c:v>
                </c:pt>
                <c:pt idx="8">
                  <c:v>661.4657342486373</c:v>
                </c:pt>
                <c:pt idx="9">
                  <c:v>519.9756989913907</c:v>
                </c:pt>
                <c:pt idx="10">
                  <c:v>408.7509201798724</c:v>
                </c:pt>
                <c:pt idx="11">
                  <c:v>321.317544400587</c:v>
                </c:pt>
                <c:pt idx="12">
                  <c:v>252.5865000969044</c:v>
                </c:pt>
                <c:pt idx="13">
                  <c:v>198.5572874653371</c:v>
                </c:pt>
                <c:pt idx="14">
                  <c:v>156.0851288191061</c:v>
                </c:pt>
                <c:pt idx="15">
                  <c:v>122.6979263741706</c:v>
                </c:pt>
                <c:pt idx="16">
                  <c:v>96.45237346069672</c:v>
                </c:pt>
                <c:pt idx="17">
                  <c:v>75.8208440934184</c:v>
                </c:pt>
                <c:pt idx="18">
                  <c:v>59.60247729291004</c:v>
                </c:pt>
                <c:pt idx="19">
                  <c:v>46.8532808085716</c:v>
                </c:pt>
                <c:pt idx="20">
                  <c:v>36.83118592099184</c:v>
                </c:pt>
              </c:numCache>
            </c:numRef>
          </c:yVal>
          <c:smooth val="1"/>
        </c:ser>
        <c:ser>
          <c:idx val="1"/>
          <c:order val="1"/>
          <c:tx>
            <c:v>Am-241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'!$C$21:$C$41</c:f>
              <c:numCache>
                <c:formatCode>0.00E+00</c:formatCode>
                <c:ptCount val="21"/>
                <c:pt idx="0">
                  <c:v>27.91601868081585</c:v>
                </c:pt>
                <c:pt idx="1">
                  <c:v>59.85859848202375</c:v>
                </c:pt>
                <c:pt idx="2">
                  <c:v>84.66600852241478</c:v>
                </c:pt>
                <c:pt idx="3">
                  <c:v>103.8669027528122</c:v>
                </c:pt>
                <c:pt idx="4">
                  <c:v>118.6629309700718</c:v>
                </c:pt>
                <c:pt idx="5">
                  <c:v>129.9986864024928</c:v>
                </c:pt>
                <c:pt idx="6">
                  <c:v>138.6166912395634</c:v>
                </c:pt>
                <c:pt idx="7">
                  <c:v>145.1006205466365</c:v>
                </c:pt>
                <c:pt idx="8">
                  <c:v>149.9092804187265</c:v>
                </c:pt>
                <c:pt idx="9">
                  <c:v>153.4033180768341</c:v>
                </c:pt>
                <c:pt idx="10">
                  <c:v>155.8662185719376</c:v>
                </c:pt>
                <c:pt idx="11">
                  <c:v>157.5208102129974</c:v>
                </c:pt>
                <c:pt idx="12">
                  <c:v>158.5422394199933</c:v>
                </c:pt>
                <c:pt idx="13">
                  <c:v>159.0681702054104</c:v>
                </c:pt>
                <c:pt idx="14">
                  <c:v>159.2068019467096</c:v>
                </c:pt>
                <c:pt idx="15">
                  <c:v>159.0431721256444</c:v>
                </c:pt>
                <c:pt idx="16">
                  <c:v>158.6441108865446</c:v>
                </c:pt>
                <c:pt idx="17">
                  <c:v>158.0621357946237</c:v>
                </c:pt>
                <c:pt idx="18">
                  <c:v>157.3385134895647</c:v>
                </c:pt>
                <c:pt idx="19">
                  <c:v>156.5056664386582</c:v>
                </c:pt>
                <c:pt idx="20">
                  <c:v>155.5890648751987</c:v>
                </c:pt>
              </c:numCache>
            </c:numRef>
          </c:yVal>
          <c:smooth val="1"/>
        </c:ser>
        <c:ser>
          <c:idx val="2"/>
          <c:order val="2"/>
          <c:tx>
            <c:v>Np-237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</c:numCache>
            </c:numRef>
          </c:xVal>
          <c:yVal>
            <c:numRef>
              <c:f>'Calculs '!$D$21:$D$41</c:f>
              <c:numCache>
                <c:formatCode>0.00E+00</c:formatCode>
                <c:ptCount val="21"/>
                <c:pt idx="0">
                  <c:v>0.0112160695420705</c:v>
                </c:pt>
                <c:pt idx="1">
                  <c:v>0.0112882095646838</c:v>
                </c:pt>
                <c:pt idx="2">
                  <c:v>0.0114060709105444</c:v>
                </c:pt>
                <c:pt idx="3">
                  <c:v>0.0115593855245154</c:v>
                </c:pt>
                <c:pt idx="4">
                  <c:v>0.0117400856221672</c:v>
                </c:pt>
                <c:pt idx="5">
                  <c:v>0.0119418330124237</c:v>
                </c:pt>
                <c:pt idx="6">
                  <c:v>0.0121596491001393</c:v>
                </c:pt>
                <c:pt idx="7">
                  <c:v>0.0123896240327775</c:v>
                </c:pt>
                <c:pt idx="8">
                  <c:v>0.0126286880619644</c:v>
                </c:pt>
                <c:pt idx="9">
                  <c:v>0.0128744318119176</c:v>
                </c:pt>
                <c:pt idx="10">
                  <c:v>0.0131249649933815</c:v>
                </c:pt>
                <c:pt idx="11">
                  <c:v>0.013378805339427</c:v>
                </c:pt>
                <c:pt idx="12">
                  <c:v>0.0136347912985426</c:v>
                </c:pt>
                <c:pt idx="13">
                  <c:v>0.0138920134032391</c:v>
                </c:pt>
                <c:pt idx="14">
                  <c:v>0.014149760319404</c:v>
                </c:pt>
                <c:pt idx="15">
                  <c:v>0.014407476436134</c:v>
                </c:pt>
                <c:pt idx="16">
                  <c:v>0.0146647285274934</c:v>
                </c:pt>
                <c:pt idx="17">
                  <c:v>0.0149211795456753</c:v>
                </c:pt>
                <c:pt idx="18">
                  <c:v>0.0151765680201309</c:v>
                </c:pt>
                <c:pt idx="19">
                  <c:v>0.0154306918635267</c:v>
                </c:pt>
                <c:pt idx="20">
                  <c:v>0.015683395641891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844168"/>
        <c:axId val="-2108218184"/>
      </c:scatterChart>
      <c:valAx>
        <c:axId val="-2124844168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Ans</a:t>
                </a:r>
              </a:p>
            </c:rich>
          </c:tx>
          <c:layout>
            <c:manualLayout>
              <c:xMode val="edge"/>
              <c:yMode val="edge"/>
              <c:x val="0.457931034482759"/>
              <c:y val="0.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8218184"/>
        <c:crosses val="autoZero"/>
        <c:crossBetween val="midCat"/>
      </c:valAx>
      <c:valAx>
        <c:axId val="-2108218184"/>
        <c:scaling>
          <c:orientation val="minMax"/>
          <c:max val="50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Activités en Tbq</a:t>
                </a:r>
              </a:p>
            </c:rich>
          </c:tx>
          <c:layout>
            <c:manualLayout>
              <c:xMode val="edge"/>
              <c:yMode val="edge"/>
              <c:x val="0.0124137931034483"/>
              <c:y val="0.3959276018099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4844168"/>
        <c:crosses val="autoZero"/>
        <c:crossBetween val="midCat"/>
        <c:majorUnit val="1000.0"/>
        <c:minorUnit val="500.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793103448276"/>
          <c:y val="0.461538461538462"/>
          <c:w val="0.100689655172414"/>
          <c:h val="0.0972850678733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4921259845" footer="0.4921259845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opLeftCell="A23" workbookViewId="0">
      <selection activeCell="C16" sqref="C16:C17"/>
    </sheetView>
  </sheetViews>
  <sheetFormatPr baseColWidth="10" defaultRowHeight="13" x14ac:dyDescent="0"/>
  <cols>
    <col min="2" max="2" width="12" bestFit="1" customWidth="1"/>
    <col min="6" max="6" width="13.5703125" bestFit="1" customWidth="1"/>
    <col min="7" max="7" width="17.5703125" style="1" bestFit="1" customWidth="1"/>
    <col min="8" max="9" width="12.5703125" bestFit="1" customWidth="1"/>
  </cols>
  <sheetData>
    <row r="2" spans="1:10" ht="14">
      <c r="A2" s="35" t="s">
        <v>22</v>
      </c>
      <c r="B2" s="44" t="s">
        <v>3</v>
      </c>
      <c r="C2" s="45" t="s">
        <v>7</v>
      </c>
      <c r="D2" s="45" t="s">
        <v>11</v>
      </c>
      <c r="E2" s="54" t="s">
        <v>29</v>
      </c>
      <c r="F2" s="14" t="s">
        <v>10</v>
      </c>
      <c r="G2" s="20" t="s">
        <v>15</v>
      </c>
      <c r="H2" s="59" t="s">
        <v>9</v>
      </c>
      <c r="I2" s="14" t="s">
        <v>13</v>
      </c>
      <c r="J2" s="15" t="s">
        <v>14</v>
      </c>
    </row>
    <row r="3" spans="1:10">
      <c r="A3" s="29">
        <v>0</v>
      </c>
      <c r="B3" s="46" t="s">
        <v>4</v>
      </c>
      <c r="C3" s="47">
        <v>241</v>
      </c>
      <c r="D3" s="47">
        <v>94</v>
      </c>
      <c r="E3" s="52">
        <v>14.4</v>
      </c>
      <c r="F3" s="3">
        <f>E3*365.25*86400</f>
        <v>454429440.00000006</v>
      </c>
      <c r="G3" s="3">
        <f>LN(2)/F3</f>
        <v>1.5253131059465364E-9</v>
      </c>
      <c r="H3" s="60">
        <v>1.19</v>
      </c>
      <c r="I3" s="56">
        <f>6.023*10^23*H3*1000/C3</f>
        <v>2.9740124481327795E+24</v>
      </c>
      <c r="J3" s="10">
        <f>LN(2)*I3/F3</f>
        <v>4536300164385072</v>
      </c>
    </row>
    <row r="4" spans="1:10">
      <c r="A4" s="30">
        <v>1</v>
      </c>
      <c r="B4" s="48" t="s">
        <v>5</v>
      </c>
      <c r="C4" s="49">
        <v>241</v>
      </c>
      <c r="D4" s="49">
        <v>95</v>
      </c>
      <c r="E4" s="53">
        <v>432.6</v>
      </c>
      <c r="F4" s="6">
        <f>E4*365.25*86400</f>
        <v>13651817760</v>
      </c>
      <c r="G4" s="6">
        <f>LN(2)/F4</f>
        <v>5.07732517929499E-11</v>
      </c>
      <c r="H4" s="61">
        <f>0.22</f>
        <v>0.22</v>
      </c>
      <c r="I4" s="57">
        <f>6.023*10^23*H4*1000/C4</f>
        <v>5.4981742738589203E+23</v>
      </c>
      <c r="J4" s="11">
        <f>LN(2)*I4/F4</f>
        <v>27916018680815.844</v>
      </c>
    </row>
    <row r="5" spans="1:10">
      <c r="A5" s="30">
        <v>2</v>
      </c>
      <c r="B5" s="48" t="s">
        <v>6</v>
      </c>
      <c r="C5" s="49">
        <v>237</v>
      </c>
      <c r="D5" s="49">
        <v>93</v>
      </c>
      <c r="E5" s="53">
        <f>2140000</f>
        <v>2140000</v>
      </c>
      <c r="F5" s="6">
        <f>E5*365.25*86400</f>
        <v>67533264000000</v>
      </c>
      <c r="G5" s="6">
        <f>LN(2)/F5</f>
        <v>1.0263789124126228E-14</v>
      </c>
      <c r="H5" s="61">
        <f>0.43</f>
        <v>0.43</v>
      </c>
      <c r="I5" s="57">
        <f>6.023*10^23*H5*1000/C5</f>
        <v>1.0927805907172994E+24</v>
      </c>
      <c r="J5" s="11">
        <f>LN(2)*I5/F5</f>
        <v>11216069542.060452</v>
      </c>
    </row>
    <row r="6" spans="1:10">
      <c r="A6" s="31">
        <v>3</v>
      </c>
      <c r="B6" s="50" t="s">
        <v>8</v>
      </c>
      <c r="C6" s="51">
        <v>233</v>
      </c>
      <c r="D6" s="51">
        <v>91</v>
      </c>
      <c r="E6" s="55">
        <f>26.967/365.25</f>
        <v>7.3831622176591366E-2</v>
      </c>
      <c r="F6" s="8">
        <f>E6*365.25*86400</f>
        <v>2329948.7999999998</v>
      </c>
      <c r="G6" s="8">
        <f>LN(2)/F6</f>
        <v>2.9749459754649772E-7</v>
      </c>
      <c r="H6" s="62">
        <v>0</v>
      </c>
      <c r="I6" s="58">
        <f>6.023*10^23*H6*1000/C6</f>
        <v>0</v>
      </c>
      <c r="J6" s="12">
        <f>LN(2)*I6/F6</f>
        <v>0</v>
      </c>
    </row>
    <row r="9" spans="1:10">
      <c r="B9" s="82" t="s">
        <v>20</v>
      </c>
      <c r="C9" s="82"/>
      <c r="D9" s="82"/>
      <c r="E9" s="82"/>
    </row>
    <row r="10" spans="1:10">
      <c r="A10" s="35" t="s">
        <v>22</v>
      </c>
      <c r="B10" s="13" t="s">
        <v>3</v>
      </c>
      <c r="C10" s="35" t="s">
        <v>21</v>
      </c>
      <c r="D10" s="13">
        <v>0</v>
      </c>
      <c r="E10" s="14">
        <v>1</v>
      </c>
      <c r="F10" s="14">
        <v>2</v>
      </c>
      <c r="G10" s="15">
        <v>3</v>
      </c>
      <c r="I10" s="1"/>
    </row>
    <row r="11" spans="1:10">
      <c r="A11" s="29">
        <v>0</v>
      </c>
      <c r="B11" s="2" t="s">
        <v>4</v>
      </c>
      <c r="C11" s="16" t="s">
        <v>0</v>
      </c>
      <c r="D11" s="26">
        <f>J3</f>
        <v>4536300164385072</v>
      </c>
      <c r="E11" s="32"/>
      <c r="F11" s="32"/>
      <c r="G11" s="33"/>
      <c r="I11" s="1"/>
    </row>
    <row r="12" spans="1:10">
      <c r="A12" s="30">
        <v>1</v>
      </c>
      <c r="B12" s="4" t="s">
        <v>5</v>
      </c>
      <c r="C12" s="17" t="s">
        <v>1</v>
      </c>
      <c r="D12" s="27">
        <f>D11*G4/(G4-G3)</f>
        <v>-156199718716272.22</v>
      </c>
      <c r="E12" s="6">
        <f>J4-D12</f>
        <v>184115737397088.06</v>
      </c>
      <c r="F12" s="5"/>
      <c r="G12" s="9"/>
      <c r="I12" s="1"/>
    </row>
    <row r="13" spans="1:10">
      <c r="A13" s="30">
        <v>2</v>
      </c>
      <c r="B13" s="4" t="s">
        <v>6</v>
      </c>
      <c r="C13" s="17" t="s">
        <v>2</v>
      </c>
      <c r="D13" s="27">
        <f>D12*G5/(G5-G$3)</f>
        <v>1051070600.4350312</v>
      </c>
      <c r="E13" s="6">
        <f>E12*G5/(G5-G$4)</f>
        <v>-37226435585.98822</v>
      </c>
      <c r="F13" s="6">
        <f>J5-(D13+E13)</f>
        <v>47391434527.613647</v>
      </c>
      <c r="G13" s="9"/>
      <c r="I13" s="1"/>
    </row>
    <row r="14" spans="1:10">
      <c r="A14" s="31">
        <v>3</v>
      </c>
      <c r="B14" s="7" t="s">
        <v>8</v>
      </c>
      <c r="C14" s="18" t="s">
        <v>12</v>
      </c>
      <c r="D14" s="37">
        <f>D13*G6/(G6-G$3)</f>
        <v>1056487418.4847456</v>
      </c>
      <c r="E14" s="8">
        <f>E13*G6/(G6-G$4)</f>
        <v>-37232790087.352783</v>
      </c>
      <c r="F14" s="8">
        <f>F13*G6/(G6-G$5)</f>
        <v>47391436162.654121</v>
      </c>
      <c r="G14" s="12">
        <f>J6-D14-E14-F14</f>
        <v>-11215133493.786087</v>
      </c>
      <c r="I14" s="39"/>
    </row>
    <row r="15" spans="1:10">
      <c r="A15" s="5"/>
      <c r="B15" s="34"/>
      <c r="C15" s="34"/>
      <c r="D15" s="34"/>
      <c r="E15" s="34"/>
      <c r="F15" s="34"/>
      <c r="G15"/>
      <c r="H15" s="1"/>
    </row>
    <row r="16" spans="1:10">
      <c r="A16" s="63" t="s">
        <v>30</v>
      </c>
      <c r="B16" s="64"/>
      <c r="C16" s="81">
        <f>10^12</f>
        <v>1000000000000</v>
      </c>
      <c r="D16" s="79" t="s">
        <v>16</v>
      </c>
      <c r="F16" s="1"/>
      <c r="G16"/>
    </row>
    <row r="17" spans="1:10">
      <c r="A17" s="65" t="s">
        <v>31</v>
      </c>
      <c r="B17" s="66"/>
      <c r="C17" s="68">
        <v>100</v>
      </c>
      <c r="D17" s="80" t="s">
        <v>32</v>
      </c>
      <c r="F17" s="1"/>
      <c r="G17"/>
    </row>
    <row r="19" spans="1:10">
      <c r="B19" s="84" t="s">
        <v>18</v>
      </c>
      <c r="C19" s="85"/>
      <c r="D19" s="85"/>
      <c r="E19" s="86"/>
      <c r="F19" s="34"/>
      <c r="G19" s="84" t="s">
        <v>19</v>
      </c>
      <c r="H19" s="87"/>
      <c r="I19" s="87"/>
      <c r="J19" s="86"/>
    </row>
    <row r="20" spans="1:10">
      <c r="A20" s="13" t="s">
        <v>17</v>
      </c>
      <c r="B20" s="13" t="str">
        <f>$B$3</f>
        <v>Pu-241</v>
      </c>
      <c r="C20" s="14" t="str">
        <f>$B$4</f>
        <v>Am-241</v>
      </c>
      <c r="D20" s="14" t="str">
        <f>$B$5</f>
        <v>Np-237</v>
      </c>
      <c r="E20" s="15" t="str">
        <f>B14</f>
        <v>Pa-233</v>
      </c>
      <c r="F20" s="34"/>
      <c r="G20" s="13" t="str">
        <f>$B$3</f>
        <v>Pu-241</v>
      </c>
      <c r="H20" s="14" t="str">
        <f>$B$4</f>
        <v>Am-241</v>
      </c>
      <c r="I20" s="14" t="str">
        <f>$B$5</f>
        <v>Np-237</v>
      </c>
      <c r="J20" s="15" t="str">
        <f>E20</f>
        <v>Pa-233</v>
      </c>
    </row>
    <row r="21" spans="1:10">
      <c r="A21" s="36">
        <v>0</v>
      </c>
      <c r="B21" s="27">
        <f t="shared" ref="B21:B41" si="0">D$11*2^(-A21/E$3)/$C$16</f>
        <v>4536.3001643850721</v>
      </c>
      <c r="C21" s="6">
        <f>(D$12*2^(-A21/E$3)+E$12*2^(-A21/E$4))/$C$16+ 0.00000000000001</f>
        <v>27.916018680815853</v>
      </c>
      <c r="D21" s="6">
        <f>(D$13*2^(-A21/E$3)+E$13*2^(-A21/E$4)+F$13*2^(-A21/E$5))/$C$16+ 0.00000000000001</f>
        <v>1.1216069542070457E-2</v>
      </c>
      <c r="E21" s="41">
        <f>(D$14*2^(-A21/E$3)+E$14*2^(-A21/E$4)+F$14*2^(-A21/E$5)+G$14*2^(-A21/E$6))/$C$16+ 0.00000000000001</f>
        <v>1E-14</v>
      </c>
      <c r="G21" s="21">
        <f t="shared" ref="G21:G41" si="1">(B21/G$3)/(6.023*10^23)*(C$3/1000)*$C$16</f>
        <v>1.1899999999999997</v>
      </c>
      <c r="H21" s="22">
        <f t="shared" ref="H21:H41" si="2">(C21/G$4)/(6.023*10^23)*(C$4/1000)*$C$16</f>
        <v>0.22000000000000008</v>
      </c>
      <c r="I21" s="22">
        <f t="shared" ref="I21:I41" si="3">(D21/G$5)/(6.023*10^23)*(C$5/1000)*$C$16</f>
        <v>0.43000000000038346</v>
      </c>
      <c r="J21" s="43">
        <f t="shared" ref="J21:J41" si="4">(E21/G$6)/(6.023*10^23)*(C$6/1000)*$C$16</f>
        <v>1.3003611156789802E-20</v>
      </c>
    </row>
    <row r="22" spans="1:10">
      <c r="A22" s="30">
        <f>5</f>
        <v>5</v>
      </c>
      <c r="B22" s="27">
        <f t="shared" si="0"/>
        <v>3565.9683135215223</v>
      </c>
      <c r="C22" s="6">
        <f t="shared" ref="C22:C41" si="5">(D$12*2^(-A22/E$3)+E$12*2^(-A22/E$4))/$C$16</f>
        <v>59.858598482023751</v>
      </c>
      <c r="D22" s="6">
        <f t="shared" ref="D22:D41" si="6">(D$13*2^(-A22/E$3)+E$13*2^(-A22/E$4)+F$13*2^(-A22/E$5))/$C$16</f>
        <v>1.1288209564683807E-2</v>
      </c>
      <c r="E22" s="41">
        <f t="shared" ref="E22:E41" si="7">(D$14*2^(-A22/E$3)+E$14*2^(-A22/E$4)+F$14*2^(-A22/E$5)+G$14*2^(-A22/E$6))/$C$16</f>
        <v>1.128616554356662E-2</v>
      </c>
      <c r="G22" s="23">
        <f t="shared" si="1"/>
        <v>0.93545447596408082</v>
      </c>
      <c r="H22" s="24">
        <f t="shared" si="2"/>
        <v>0.47173244210124471</v>
      </c>
      <c r="I22" s="24">
        <f t="shared" si="3"/>
        <v>0.43276569341975951</v>
      </c>
      <c r="J22" s="11">
        <f t="shared" si="4"/>
        <v>1.4676090817969954E-8</v>
      </c>
    </row>
    <row r="23" spans="1:10">
      <c r="A23" s="30">
        <f t="shared" ref="A23:A38" si="8">A22+$C$17/20</f>
        <v>10</v>
      </c>
      <c r="B23" s="27">
        <f t="shared" si="0"/>
        <v>2803.1941344788179</v>
      </c>
      <c r="C23" s="6">
        <f t="shared" si="5"/>
        <v>84.666008522414785</v>
      </c>
      <c r="D23" s="6">
        <f t="shared" si="6"/>
        <v>1.1406070910544434E-2</v>
      </c>
      <c r="E23" s="41">
        <f t="shared" si="7"/>
        <v>1.1403166357611291E-2</v>
      </c>
      <c r="G23" s="23">
        <f t="shared" si="1"/>
        <v>0.73535720722792697</v>
      </c>
      <c r="H23" s="24">
        <f t="shared" si="2"/>
        <v>0.66723418148919567</v>
      </c>
      <c r="I23" s="24">
        <f t="shared" si="3"/>
        <v>0.43728424410545358</v>
      </c>
      <c r="J23" s="11">
        <f t="shared" si="4"/>
        <v>1.4828234127056428E-8</v>
      </c>
    </row>
    <row r="24" spans="1:10">
      <c r="A24" s="30">
        <f t="shared" si="8"/>
        <v>15</v>
      </c>
      <c r="B24" s="27">
        <f t="shared" si="0"/>
        <v>2203.5802521802252</v>
      </c>
      <c r="C24" s="6">
        <f t="shared" si="5"/>
        <v>103.86690275281224</v>
      </c>
      <c r="D24" s="6">
        <f t="shared" si="6"/>
        <v>1.1559385524515381E-2</v>
      </c>
      <c r="E24" s="41">
        <f t="shared" si="7"/>
        <v>1.1555814868900437E-2</v>
      </c>
      <c r="G24" s="23">
        <f t="shared" si="1"/>
        <v>0.57806150498639541</v>
      </c>
      <c r="H24" s="24">
        <f t="shared" si="2"/>
        <v>0.81855220355336433</v>
      </c>
      <c r="I24" s="24">
        <f t="shared" si="3"/>
        <v>0.44316199689222852</v>
      </c>
      <c r="J24" s="11">
        <f t="shared" si="4"/>
        <v>1.502673231550312E-8</v>
      </c>
    </row>
    <row r="25" spans="1:10">
      <c r="A25" s="30">
        <f t="shared" si="8"/>
        <v>20</v>
      </c>
      <c r="B25" s="27">
        <f t="shared" si="0"/>
        <v>1732.2260588639076</v>
      </c>
      <c r="C25" s="6">
        <f t="shared" si="5"/>
        <v>118.66293097007178</v>
      </c>
      <c r="D25" s="6">
        <f t="shared" si="6"/>
        <v>1.1740085622167168E-2</v>
      </c>
      <c r="E25" s="41">
        <f t="shared" si="7"/>
        <v>1.1736001621222092E-2</v>
      </c>
      <c r="G25" s="23">
        <f t="shared" si="1"/>
        <v>0.45441195144710628</v>
      </c>
      <c r="H25" s="24">
        <f t="shared" si="2"/>
        <v>0.93515644590666447</v>
      </c>
      <c r="I25" s="24">
        <f t="shared" si="3"/>
        <v>0.4500896502648194</v>
      </c>
      <c r="J25" s="11">
        <f t="shared" si="4"/>
        <v>1.5261040161782677E-8</v>
      </c>
    </row>
    <row r="26" spans="1:10">
      <c r="A26" s="30">
        <f t="shared" si="8"/>
        <v>25</v>
      </c>
      <c r="B26" s="27">
        <f t="shared" si="0"/>
        <v>1361.6963194503041</v>
      </c>
      <c r="C26" s="6">
        <f t="shared" si="5"/>
        <v>129.99868640249281</v>
      </c>
      <c r="D26" s="6">
        <f t="shared" si="6"/>
        <v>1.1941833012423683E-2</v>
      </c>
      <c r="E26" s="41">
        <f t="shared" si="7"/>
        <v>1.1937355666129891E-2</v>
      </c>
      <c r="G26" s="23">
        <f t="shared" si="1"/>
        <v>0.35721150748972119</v>
      </c>
      <c r="H26" s="24">
        <f t="shared" si="2"/>
        <v>1.0244910399133103</v>
      </c>
      <c r="I26" s="24">
        <f t="shared" si="3"/>
        <v>0.45782421159978465</v>
      </c>
      <c r="J26" s="11">
        <f t="shared" si="4"/>
        <v>1.5522873132265461E-8</v>
      </c>
    </row>
    <row r="27" spans="1:10">
      <c r="A27" s="30">
        <f t="shared" si="8"/>
        <v>30</v>
      </c>
      <c r="B27" s="27">
        <f t="shared" si="0"/>
        <v>1070.4242999442031</v>
      </c>
      <c r="C27" s="6">
        <f t="shared" si="5"/>
        <v>138.61669123956338</v>
      </c>
      <c r="D27" s="6">
        <f t="shared" si="6"/>
        <v>1.2159649100139336E-2</v>
      </c>
      <c r="E27" s="41">
        <f t="shared" si="7"/>
        <v>1.2154872658688217E-2</v>
      </c>
      <c r="G27" s="23">
        <f t="shared" si="1"/>
        <v>0.28080260802280366</v>
      </c>
      <c r="H27" s="24">
        <f t="shared" si="2"/>
        <v>1.0924076395485744</v>
      </c>
      <c r="I27" s="24">
        <f t="shared" si="3"/>
        <v>0.46617481225953444</v>
      </c>
      <c r="J27" s="11">
        <f t="shared" si="4"/>
        <v>1.5805723771387741E-8</v>
      </c>
    </row>
    <row r="28" spans="1:10">
      <c r="A28" s="30">
        <f t="shared" si="8"/>
        <v>35</v>
      </c>
      <c r="B28" s="27">
        <f t="shared" si="0"/>
        <v>841.45647274245641</v>
      </c>
      <c r="C28" s="6">
        <f t="shared" si="5"/>
        <v>145.10062054663655</v>
      </c>
      <c r="D28" s="6">
        <f t="shared" si="6"/>
        <v>1.2389624032777519E-2</v>
      </c>
      <c r="E28" s="41">
        <f t="shared" si="7"/>
        <v>1.2384622505197488E-2</v>
      </c>
      <c r="G28" s="23">
        <f t="shared" si="1"/>
        <v>0.22073786263640263</v>
      </c>
      <c r="H28" s="24">
        <f t="shared" si="2"/>
        <v>1.1435060595584585</v>
      </c>
      <c r="I28" s="24">
        <f t="shared" si="3"/>
        <v>0.47499155690110278</v>
      </c>
      <c r="J28" s="11">
        <f t="shared" si="4"/>
        <v>1.6104481538121611E-8</v>
      </c>
    </row>
    <row r="29" spans="1:10">
      <c r="A29" s="30">
        <f t="shared" si="8"/>
        <v>40</v>
      </c>
      <c r="B29" s="27">
        <f t="shared" si="0"/>
        <v>661.46573424863732</v>
      </c>
      <c r="C29" s="6">
        <f t="shared" si="5"/>
        <v>149.9092804187265</v>
      </c>
      <c r="D29" s="6">
        <f t="shared" si="6"/>
        <v>1.2628688061964401E-2</v>
      </c>
      <c r="E29" s="41">
        <f t="shared" si="7"/>
        <v>1.2623519546426414E-2</v>
      </c>
      <c r="G29" s="23">
        <f t="shared" si="1"/>
        <v>0.17352119463694732</v>
      </c>
      <c r="H29" s="24">
        <f t="shared" si="2"/>
        <v>1.1814020498124982</v>
      </c>
      <c r="I29" s="24">
        <f t="shared" si="3"/>
        <v>0.48415675796952218</v>
      </c>
      <c r="J29" s="11">
        <f t="shared" si="4"/>
        <v>1.6415133961186464E-8</v>
      </c>
    </row>
    <row r="30" spans="1:10">
      <c r="A30" s="30">
        <f t="shared" si="8"/>
        <v>45</v>
      </c>
      <c r="B30" s="27">
        <f t="shared" si="0"/>
        <v>519.97569899139069</v>
      </c>
      <c r="C30" s="6">
        <f t="shared" si="5"/>
        <v>153.40331807683407</v>
      </c>
      <c r="D30" s="6">
        <f t="shared" si="6"/>
        <v>1.2874431811917619E-2</v>
      </c>
      <c r="E30" s="41">
        <f t="shared" si="7"/>
        <v>1.2869141899766838E-2</v>
      </c>
      <c r="G30" s="23">
        <f t="shared" si="1"/>
        <v>0.13640435142669483</v>
      </c>
      <c r="H30" s="24">
        <f t="shared" si="2"/>
        <v>1.2089377916950581</v>
      </c>
      <c r="I30" s="24">
        <f t="shared" si="3"/>
        <v>0.4935780451756705</v>
      </c>
      <c r="J30" s="11">
        <f t="shared" si="4"/>
        <v>1.6734531718611916E-8</v>
      </c>
    </row>
    <row r="31" spans="1:10">
      <c r="A31" s="30">
        <f t="shared" si="8"/>
        <v>50</v>
      </c>
      <c r="B31" s="27">
        <f t="shared" si="0"/>
        <v>408.75092017987242</v>
      </c>
      <c r="C31" s="6">
        <f t="shared" si="5"/>
        <v>155.86621857193757</v>
      </c>
      <c r="D31" s="6">
        <f t="shared" si="6"/>
        <v>1.3124964993381508E-2</v>
      </c>
      <c r="E31" s="41">
        <f t="shared" si="7"/>
        <v>1.3119589445028451E-2</v>
      </c>
      <c r="G31" s="23">
        <f t="shared" si="1"/>
        <v>0.10722694208662115</v>
      </c>
      <c r="H31" s="24">
        <f t="shared" si="2"/>
        <v>1.2283473685089297</v>
      </c>
      <c r="I31" s="24">
        <f t="shared" si="3"/>
        <v>0.50318294889220738</v>
      </c>
      <c r="J31" s="11">
        <f t="shared" si="4"/>
        <v>1.706020396798737E-8</v>
      </c>
    </row>
    <row r="32" spans="1:10">
      <c r="A32" s="30">
        <f t="shared" si="8"/>
        <v>55</v>
      </c>
      <c r="B32" s="27">
        <f t="shared" si="0"/>
        <v>321.317544400587</v>
      </c>
      <c r="C32" s="6">
        <f t="shared" si="5"/>
        <v>157.52081021299742</v>
      </c>
      <c r="D32" s="6">
        <f t="shared" si="6"/>
        <v>1.3378805339427044E-2</v>
      </c>
      <c r="E32" s="41">
        <f t="shared" si="7"/>
        <v>1.3373372187850461E-2</v>
      </c>
      <c r="G32" s="23">
        <f t="shared" si="1"/>
        <v>8.429069152846308E-2</v>
      </c>
      <c r="H32" s="24">
        <f t="shared" si="2"/>
        <v>1.2413868411212372</v>
      </c>
      <c r="I32" s="24">
        <f t="shared" si="3"/>
        <v>0.51291464219085015</v>
      </c>
      <c r="J32" s="11">
        <f t="shared" si="4"/>
        <v>1.7390213178583467E-8</v>
      </c>
    </row>
    <row r="33" spans="1:10">
      <c r="A33" s="30">
        <f t="shared" si="8"/>
        <v>60</v>
      </c>
      <c r="B33" s="27">
        <f t="shared" si="0"/>
        <v>252.58650009690439</v>
      </c>
      <c r="C33" s="6">
        <f t="shared" si="5"/>
        <v>158.54223941999331</v>
      </c>
      <c r="D33" s="6">
        <f t="shared" si="6"/>
        <v>1.3634791298542602E-2</v>
      </c>
      <c r="E33" s="41">
        <f t="shared" si="7"/>
        <v>1.3629322502840047E-2</v>
      </c>
      <c r="G33" s="23">
        <f t="shared" si="1"/>
        <v>6.6260592161687698E-2</v>
      </c>
      <c r="H33" s="24">
        <f t="shared" si="2"/>
        <v>1.2494364999249665</v>
      </c>
      <c r="I33" s="24">
        <f t="shared" si="3"/>
        <v>0.52272859368311841</v>
      </c>
      <c r="J33" s="11">
        <f t="shared" si="4"/>
        <v>1.7723041015741713E-8</v>
      </c>
    </row>
    <row r="34" spans="1:10">
      <c r="A34" s="30">
        <f t="shared" si="8"/>
        <v>65</v>
      </c>
      <c r="B34" s="27">
        <f t="shared" si="0"/>
        <v>198.55728746533708</v>
      </c>
      <c r="C34" s="6">
        <f t="shared" si="5"/>
        <v>159.06817020541041</v>
      </c>
      <c r="D34" s="6">
        <f t="shared" si="6"/>
        <v>1.3892013403239102E-2</v>
      </c>
      <c r="E34" s="41">
        <f t="shared" si="7"/>
        <v>1.3886526148471771E-2</v>
      </c>
      <c r="G34" s="23">
        <f t="shared" si="1"/>
        <v>5.2087199594690173E-2</v>
      </c>
      <c r="H34" s="24">
        <f t="shared" si="2"/>
        <v>1.2535812447080494</v>
      </c>
      <c r="I34" s="24">
        <f t="shared" si="3"/>
        <v>0.53258993634016261</v>
      </c>
      <c r="J34" s="11">
        <f t="shared" si="4"/>
        <v>1.8057498635332084E-8</v>
      </c>
    </row>
    <row r="35" spans="1:10">
      <c r="A35" s="30">
        <f t="shared" si="8"/>
        <v>70</v>
      </c>
      <c r="B35" s="27">
        <f t="shared" si="0"/>
        <v>156.0851288191061</v>
      </c>
      <c r="C35" s="6">
        <f t="shared" si="5"/>
        <v>159.20680194670959</v>
      </c>
      <c r="D35" s="6">
        <f t="shared" si="6"/>
        <v>1.4149760319403961E-2</v>
      </c>
      <c r="E35" s="41">
        <f t="shared" si="7"/>
        <v>1.4144268038394863E-2</v>
      </c>
      <c r="G35" s="23">
        <f t="shared" si="1"/>
        <v>4.0945549580913759E-2</v>
      </c>
      <c r="H35" s="24">
        <f t="shared" si="2"/>
        <v>1.2546737709538061</v>
      </c>
      <c r="I35" s="24">
        <f t="shared" si="3"/>
        <v>0.54247139914094766</v>
      </c>
      <c r="J35" s="11">
        <f t="shared" si="4"/>
        <v>1.8392656166869684E-8</v>
      </c>
    </row>
    <row r="36" spans="1:10">
      <c r="A36" s="30">
        <f t="shared" si="8"/>
        <v>75</v>
      </c>
      <c r="B36" s="27">
        <f t="shared" si="0"/>
        <v>122.69792637417056</v>
      </c>
      <c r="C36" s="6">
        <f t="shared" si="5"/>
        <v>159.04317212564445</v>
      </c>
      <c r="D36" s="6">
        <f t="shared" si="6"/>
        <v>1.4407476436134018E-2</v>
      </c>
      <c r="E36" s="41">
        <f t="shared" si="7"/>
        <v>1.4401989612694713E-2</v>
      </c>
      <c r="G36" s="23">
        <f t="shared" si="1"/>
        <v>3.2187140862415954E-2</v>
      </c>
      <c r="H36" s="24">
        <f t="shared" si="2"/>
        <v>1.2533842403425131</v>
      </c>
      <c r="I36" s="24">
        <f t="shared" si="3"/>
        <v>0.55235168115759858</v>
      </c>
      <c r="J36" s="11">
        <f t="shared" si="4"/>
        <v>1.8727787280760782E-8</v>
      </c>
    </row>
    <row r="37" spans="1:10">
      <c r="A37" s="30">
        <f t="shared" si="8"/>
        <v>80</v>
      </c>
      <c r="B37" s="27">
        <f t="shared" si="0"/>
        <v>96.45237346069672</v>
      </c>
      <c r="C37" s="6">
        <f t="shared" si="5"/>
        <v>158.64411088654455</v>
      </c>
      <c r="D37" s="6">
        <f t="shared" si="6"/>
        <v>1.466472852749345E-2</v>
      </c>
      <c r="E37" s="41">
        <f t="shared" si="7"/>
        <v>1.4659255327832698E-2</v>
      </c>
      <c r="G37" s="23">
        <f t="shared" si="1"/>
        <v>2.5302189065742324E-2</v>
      </c>
      <c r="H37" s="24">
        <f t="shared" si="2"/>
        <v>1.2502393265349325</v>
      </c>
      <c r="I37" s="24">
        <f t="shared" si="3"/>
        <v>0.5622141734388505</v>
      </c>
      <c r="J37" s="11">
        <f t="shared" si="4"/>
        <v>1.9062325613123561E-8</v>
      </c>
    </row>
    <row r="38" spans="1:10">
      <c r="A38" s="30">
        <f t="shared" si="8"/>
        <v>85</v>
      </c>
      <c r="B38" s="27">
        <f t="shared" si="0"/>
        <v>75.820844093418401</v>
      </c>
      <c r="C38" s="6">
        <f t="shared" si="5"/>
        <v>158.06213579462369</v>
      </c>
      <c r="D38" s="6">
        <f t="shared" si="6"/>
        <v>1.4921179545675328E-2</v>
      </c>
      <c r="E38" s="41">
        <f t="shared" si="7"/>
        <v>1.4915726314742188E-2</v>
      </c>
      <c r="G38" s="23">
        <f t="shared" si="1"/>
        <v>1.9889954632973182E-2</v>
      </c>
      <c r="H38" s="24">
        <f t="shared" si="2"/>
        <v>1.2456529089054527</v>
      </c>
      <c r="I38" s="24">
        <f t="shared" si="3"/>
        <v>0.57204595429618899</v>
      </c>
      <c r="J38" s="11">
        <f t="shared" si="4"/>
        <v>1.9395830511800474E-8</v>
      </c>
    </row>
    <row r="39" spans="1:10">
      <c r="A39" s="30">
        <f>A38+$C$17/20</f>
        <v>90</v>
      </c>
      <c r="B39" s="27">
        <f t="shared" si="0"/>
        <v>59.602477292910038</v>
      </c>
      <c r="C39" s="6">
        <f t="shared" si="5"/>
        <v>157.33851348956466</v>
      </c>
      <c r="D39" s="6">
        <f t="shared" si="6"/>
        <v>1.5176568020130871E-2</v>
      </c>
      <c r="E39" s="41">
        <f t="shared" si="7"/>
        <v>1.5171139671783348E-2</v>
      </c>
      <c r="G39" s="23">
        <f t="shared" si="1"/>
        <v>1.563541772112375E-2</v>
      </c>
      <c r="H39" s="24">
        <f t="shared" si="2"/>
        <v>1.2399502007602403</v>
      </c>
      <c r="I39" s="24">
        <f t="shared" si="3"/>
        <v>0.58183699951074186</v>
      </c>
      <c r="J39" s="11">
        <f t="shared" si="4"/>
        <v>1.9727960109721829E-8</v>
      </c>
    </row>
    <row r="40" spans="1:10">
      <c r="A40" s="30">
        <f>A39+$C$17/20</f>
        <v>95</v>
      </c>
      <c r="B40" s="27">
        <f t="shared" si="0"/>
        <v>46.853280808571604</v>
      </c>
      <c r="C40" s="6">
        <f t="shared" si="5"/>
        <v>156.50566643865815</v>
      </c>
      <c r="D40" s="6">
        <f t="shared" si="6"/>
        <v>1.5430691863526684E-2</v>
      </c>
      <c r="E40" s="41">
        <f t="shared" si="7"/>
        <v>1.5425292187237091E-2</v>
      </c>
      <c r="G40" s="23">
        <f t="shared" si="1"/>
        <v>1.2290942429238089E-2</v>
      </c>
      <c r="H40" s="24">
        <f t="shared" si="2"/>
        <v>1.2333867164290973</v>
      </c>
      <c r="I40" s="24">
        <f t="shared" si="3"/>
        <v>0.59157956148848478</v>
      </c>
      <c r="J40" s="11">
        <f t="shared" si="4"/>
        <v>2.0058450158269878E-8</v>
      </c>
    </row>
    <row r="41" spans="1:10">
      <c r="A41" s="31">
        <f>A40+$C$17/20</f>
        <v>100</v>
      </c>
      <c r="B41" s="37">
        <f t="shared" si="0"/>
        <v>36.831185920991842</v>
      </c>
      <c r="C41" s="8">
        <f t="shared" si="5"/>
        <v>155.58906487519874</v>
      </c>
      <c r="D41" s="8">
        <f t="shared" si="6"/>
        <v>1.5683395641890981E-2</v>
      </c>
      <c r="E41" s="42">
        <f t="shared" si="7"/>
        <v>1.567802754384116E-2</v>
      </c>
      <c r="G41" s="38">
        <f t="shared" si="1"/>
        <v>9.6618631170147951E-3</v>
      </c>
      <c r="H41" s="25">
        <f t="shared" si="2"/>
        <v>1.2261631812156162</v>
      </c>
      <c r="I41" s="25">
        <f t="shared" si="3"/>
        <v>0.60126768122500762</v>
      </c>
      <c r="J41" s="12">
        <f t="shared" si="4"/>
        <v>2.0387097388555073E-8</v>
      </c>
    </row>
    <row r="43" spans="1:10">
      <c r="A43" s="74" t="s">
        <v>34</v>
      </c>
      <c r="B43" s="75"/>
      <c r="C43" s="76">
        <f>10^12</f>
        <v>1000000000000</v>
      </c>
      <c r="D43" s="77" t="s">
        <v>16</v>
      </c>
    </row>
    <row r="44" spans="1:10">
      <c r="A44" s="72" t="s">
        <v>33</v>
      </c>
      <c r="B44" s="73"/>
      <c r="C44" s="67">
        <v>100000</v>
      </c>
      <c r="D44" s="78" t="s">
        <v>32</v>
      </c>
    </row>
    <row r="46" spans="1:10">
      <c r="B46" s="83" t="s">
        <v>18</v>
      </c>
      <c r="C46" s="83"/>
      <c r="D46" s="83"/>
      <c r="F46" s="83" t="s">
        <v>19</v>
      </c>
      <c r="G46" s="83"/>
      <c r="H46" s="83"/>
    </row>
    <row r="47" spans="1:10">
      <c r="A47" s="35" t="s">
        <v>17</v>
      </c>
      <c r="B47" s="2" t="str">
        <f>$B$3</f>
        <v>Pu-241</v>
      </c>
      <c r="C47" s="71" t="str">
        <f>$B$4</f>
        <v>Am-241</v>
      </c>
      <c r="D47" s="71" t="str">
        <f>$B$5</f>
        <v>Np-237</v>
      </c>
      <c r="E47" s="15" t="str">
        <f>E20</f>
        <v>Pa-233</v>
      </c>
      <c r="F47" s="34"/>
      <c r="G47" s="13" t="str">
        <f>$B$3</f>
        <v>Pu-241</v>
      </c>
      <c r="H47" s="14" t="str">
        <f>$B$4</f>
        <v>Am-241</v>
      </c>
      <c r="I47" s="14" t="str">
        <f>$B$5</f>
        <v>Np-237</v>
      </c>
      <c r="J47" s="15" t="str">
        <f>E47</f>
        <v>Pa-233</v>
      </c>
    </row>
    <row r="48" spans="1:10">
      <c r="A48" s="23">
        <f>$C$44/1000000</f>
        <v>0.1</v>
      </c>
      <c r="B48" s="26">
        <f t="shared" ref="B48:B62" si="9">D$11*2^(-A48/E$3)/$C$16</f>
        <v>4514.5170521549944</v>
      </c>
      <c r="C48" s="3">
        <f t="shared" ref="C48:C66" si="10">(D$12*2^(-A48/E$3)+E$12*2^(-A48/E$4))/$C$16</f>
        <v>28.636584634141311</v>
      </c>
      <c r="D48" s="10">
        <f t="shared" ref="D48:D66" si="11">(D$13*2^(-A48/E$3)+E$13*2^(-A48/E$4)+F$13*2^(-A48/E$5))/$C$16</f>
        <v>1.1216985059459625E-2</v>
      </c>
      <c r="E48" s="40">
        <f t="shared" ref="E48:E66" si="12">(D$14*2^(-A48/E$3)+E$14*2^(-A48/E$4)+F$14*2^(-A48/E$5)+G$14*2^(-A48/E$6))/$C$16</f>
        <v>6.8299149372220711E-3</v>
      </c>
      <c r="G48" s="21">
        <f t="shared" ref="G48:G66" si="13">(B48/G$3)/(6.023*10^23)*(C$3/1000)*$C$16</f>
        <v>1.1842856727697808</v>
      </c>
      <c r="H48" s="22">
        <f t="shared" ref="H48:H66" si="14">(C48/G$4)/(6.023*10^23)*(C$4/1000)*$C$16</f>
        <v>0.22567862170978345</v>
      </c>
      <c r="I48" s="22">
        <f t="shared" ref="I48:I66" si="15">(D48/G$5)/(6.023*10^23)*(C$5/1000)*$C$16</f>
        <v>0.4300350989693999</v>
      </c>
      <c r="J48" s="10">
        <f t="shared" ref="J48:J66" si="16">(E48/G$6)/(6.023*10^23)*(C$6/1000)*$C$16</f>
        <v>8.8813558077586244E-9</v>
      </c>
    </row>
    <row r="49" spans="1:10">
      <c r="A49" s="23">
        <f>2*A48</f>
        <v>0.2</v>
      </c>
      <c r="B49" s="27">
        <f t="shared" si="9"/>
        <v>4492.8385414638869</v>
      </c>
      <c r="C49" s="6">
        <f t="shared" si="10"/>
        <v>29.353553538870564</v>
      </c>
      <c r="D49" s="11">
        <f t="shared" si="11"/>
        <v>1.1217923857698662E-2</v>
      </c>
      <c r="E49" s="41">
        <f t="shared" si="12"/>
        <v>9.5015813825109572E-3</v>
      </c>
      <c r="G49" s="23">
        <f t="shared" si="13"/>
        <v>1.1785987854855229</v>
      </c>
      <c r="H49" s="24">
        <f t="shared" si="14"/>
        <v>0.23132889587114988</v>
      </c>
      <c r="I49" s="24">
        <f t="shared" si="15"/>
        <v>0.4300710904761636</v>
      </c>
      <c r="J49" s="11">
        <f t="shared" si="16"/>
        <v>1.2355486967276575E-8</v>
      </c>
    </row>
    <row r="50" spans="1:10">
      <c r="A50" s="23">
        <f>5*A48</f>
        <v>0.5</v>
      </c>
      <c r="B50" s="27">
        <f t="shared" si="9"/>
        <v>4428.42560775321</v>
      </c>
      <c r="C50" s="6">
        <f t="shared" si="10"/>
        <v>31.483050494667562</v>
      </c>
      <c r="D50" s="11">
        <f t="shared" si="11"/>
        <v>1.1220878777955955E-2</v>
      </c>
      <c r="E50" s="41">
        <f t="shared" si="12"/>
        <v>1.111721144701132E-2</v>
      </c>
      <c r="G50" s="23">
        <f t="shared" si="13"/>
        <v>1.1617014488151012</v>
      </c>
      <c r="H50" s="24">
        <f t="shared" si="14"/>
        <v>0.24811099276082169</v>
      </c>
      <c r="I50" s="24">
        <f t="shared" si="15"/>
        <v>0.43018437576793822</v>
      </c>
      <c r="J50" s="11">
        <f t="shared" si="16"/>
        <v>1.445638948047477E-8</v>
      </c>
    </row>
    <row r="51" spans="1:10">
      <c r="A51" s="23">
        <f>10*A48</f>
        <v>1</v>
      </c>
      <c r="B51" s="27">
        <f t="shared" si="9"/>
        <v>4323.1163399132765</v>
      </c>
      <c r="C51" s="6">
        <f t="shared" si="10"/>
        <v>34.961869062935065</v>
      </c>
      <c r="D51" s="11">
        <f t="shared" si="11"/>
        <v>1.122625852304303E-2</v>
      </c>
      <c r="E51" s="41">
        <f t="shared" si="12"/>
        <v>1.1224139325171478E-2</v>
      </c>
      <c r="G51" s="23">
        <f t="shared" si="13"/>
        <v>1.1340758455286595</v>
      </c>
      <c r="H51" s="24">
        <f t="shared" si="14"/>
        <v>0.27552679634547828</v>
      </c>
      <c r="I51" s="24">
        <f t="shared" si="15"/>
        <v>0.43039062363210906</v>
      </c>
      <c r="J51" s="11">
        <f t="shared" si="16"/>
        <v>1.4595434335416296E-8</v>
      </c>
    </row>
    <row r="52" spans="1:10">
      <c r="A52" s="23">
        <f>2*A51</f>
        <v>2</v>
      </c>
      <c r="B52" s="27">
        <f t="shared" si="9"/>
        <v>4119.9511079881622</v>
      </c>
      <c r="C52" s="6">
        <f t="shared" si="10"/>
        <v>41.663218312546846</v>
      </c>
      <c r="D52" s="11">
        <f t="shared" si="11"/>
        <v>1.1238673414964912E-2</v>
      </c>
      <c r="E52" s="41">
        <f t="shared" si="12"/>
        <v>1.1237260454494179E-2</v>
      </c>
      <c r="G52" s="23">
        <f t="shared" si="13"/>
        <v>1.0807798516063396</v>
      </c>
      <c r="H52" s="24">
        <f t="shared" si="14"/>
        <v>0.32833865507688625</v>
      </c>
      <c r="I52" s="24">
        <f t="shared" si="15"/>
        <v>0.4308665839055712</v>
      </c>
      <c r="J52" s="11">
        <f t="shared" si="16"/>
        <v>1.4612496541781333E-8</v>
      </c>
    </row>
    <row r="53" spans="1:10">
      <c r="A53" s="23">
        <f>5*A51</f>
        <v>5</v>
      </c>
      <c r="B53" s="27">
        <f t="shared" si="9"/>
        <v>3565.9683135215223</v>
      </c>
      <c r="C53" s="6">
        <f t="shared" si="10"/>
        <v>59.858598482023751</v>
      </c>
      <c r="D53" s="11">
        <f t="shared" si="11"/>
        <v>1.1288209564683807E-2</v>
      </c>
      <c r="E53" s="41">
        <f t="shared" si="12"/>
        <v>1.128616554356662E-2</v>
      </c>
      <c r="G53" s="23">
        <f t="shared" si="13"/>
        <v>0.93545447596408082</v>
      </c>
      <c r="H53" s="24">
        <f t="shared" si="14"/>
        <v>0.47173244210124471</v>
      </c>
      <c r="I53" s="24">
        <f t="shared" si="15"/>
        <v>0.43276569341975951</v>
      </c>
      <c r="J53" s="11">
        <f t="shared" si="16"/>
        <v>1.4676090817969954E-8</v>
      </c>
    </row>
    <row r="54" spans="1:10">
      <c r="A54" s="69">
        <f>10*A51</f>
        <v>10</v>
      </c>
      <c r="B54" s="27">
        <f t="shared" si="9"/>
        <v>2803.1941344788179</v>
      </c>
      <c r="C54" s="6">
        <f t="shared" si="10"/>
        <v>84.666008522414785</v>
      </c>
      <c r="D54" s="11">
        <f t="shared" si="11"/>
        <v>1.1406070910544434E-2</v>
      </c>
      <c r="E54" s="41">
        <f t="shared" si="12"/>
        <v>1.1403166357611291E-2</v>
      </c>
      <c r="G54" s="23">
        <f t="shared" si="13"/>
        <v>0.73535720722792697</v>
      </c>
      <c r="H54" s="24">
        <f t="shared" si="14"/>
        <v>0.66723418148919567</v>
      </c>
      <c r="I54" s="24">
        <f t="shared" si="15"/>
        <v>0.43728424410545358</v>
      </c>
      <c r="J54" s="11">
        <f t="shared" si="16"/>
        <v>1.4828234127056428E-8</v>
      </c>
    </row>
    <row r="55" spans="1:10">
      <c r="A55" s="4">
        <f>2*A54</f>
        <v>20</v>
      </c>
      <c r="B55" s="27">
        <f t="shared" si="9"/>
        <v>1732.2260588639076</v>
      </c>
      <c r="C55" s="6">
        <f t="shared" si="10"/>
        <v>118.66293097007178</v>
      </c>
      <c r="D55" s="11">
        <f t="shared" si="11"/>
        <v>1.1740085622167168E-2</v>
      </c>
      <c r="E55" s="41">
        <f t="shared" si="12"/>
        <v>1.1736001621222092E-2</v>
      </c>
      <c r="G55" s="23">
        <f t="shared" si="13"/>
        <v>0.45441195144710628</v>
      </c>
      <c r="H55" s="24">
        <f t="shared" si="14"/>
        <v>0.93515644590666447</v>
      </c>
      <c r="I55" s="24">
        <f t="shared" si="15"/>
        <v>0.4500896502648194</v>
      </c>
      <c r="J55" s="11">
        <f t="shared" si="16"/>
        <v>1.5261040161782677E-8</v>
      </c>
    </row>
    <row r="56" spans="1:10">
      <c r="A56" s="4">
        <f>5*A54</f>
        <v>50</v>
      </c>
      <c r="B56" s="27">
        <f t="shared" si="9"/>
        <v>408.75092017987242</v>
      </c>
      <c r="C56" s="6">
        <f t="shared" si="10"/>
        <v>155.86621857193757</v>
      </c>
      <c r="D56" s="11">
        <f t="shared" si="11"/>
        <v>1.3124964993381508E-2</v>
      </c>
      <c r="E56" s="41">
        <f t="shared" si="12"/>
        <v>1.3119589445028451E-2</v>
      </c>
      <c r="G56" s="23">
        <f t="shared" si="13"/>
        <v>0.10722694208662115</v>
      </c>
      <c r="H56" s="24">
        <f t="shared" si="14"/>
        <v>1.2283473685089297</v>
      </c>
      <c r="I56" s="24">
        <f t="shared" si="15"/>
        <v>0.50318294889220738</v>
      </c>
      <c r="J56" s="11">
        <f t="shared" si="16"/>
        <v>1.706020396798737E-8</v>
      </c>
    </row>
    <row r="57" spans="1:10">
      <c r="A57" s="69">
        <f>10*A54</f>
        <v>100</v>
      </c>
      <c r="B57" s="27">
        <f t="shared" si="9"/>
        <v>36.831185920991842</v>
      </c>
      <c r="C57" s="6">
        <f t="shared" si="10"/>
        <v>155.58906487519874</v>
      </c>
      <c r="D57" s="11">
        <f t="shared" si="11"/>
        <v>1.5683395641890981E-2</v>
      </c>
      <c r="E57" s="41">
        <f t="shared" si="12"/>
        <v>1.567802754384116E-2</v>
      </c>
      <c r="G57" s="23">
        <f t="shared" si="13"/>
        <v>9.6618631170147951E-3</v>
      </c>
      <c r="H57" s="24">
        <f t="shared" si="14"/>
        <v>1.2261631812156162</v>
      </c>
      <c r="I57" s="24">
        <f t="shared" si="15"/>
        <v>0.60126768122500762</v>
      </c>
      <c r="J57" s="11">
        <f t="shared" si="16"/>
        <v>2.0387097388555073E-8</v>
      </c>
    </row>
    <row r="58" spans="1:10">
      <c r="A58" s="4">
        <f>2*A57</f>
        <v>200</v>
      </c>
      <c r="B58" s="27">
        <f t="shared" si="9"/>
        <v>0.29904023261003843</v>
      </c>
      <c r="C58" s="6">
        <f t="shared" si="10"/>
        <v>133.62416457613827</v>
      </c>
      <c r="D58" s="11">
        <f t="shared" si="11"/>
        <v>2.0368827943232783E-2</v>
      </c>
      <c r="E58" s="41">
        <f t="shared" si="12"/>
        <v>2.03642177256717E-2</v>
      </c>
      <c r="G58" s="23">
        <f t="shared" si="13"/>
        <v>7.8446721757925101E-5</v>
      </c>
      <c r="H58" s="24">
        <f t="shared" si="14"/>
        <v>1.0530626355739094</v>
      </c>
      <c r="I58" s="24">
        <f t="shared" si="15"/>
        <v>0.78089708544915948</v>
      </c>
      <c r="J58" s="11">
        <f t="shared" si="16"/>
        <v>2.6480836881684117E-8</v>
      </c>
    </row>
    <row r="59" spans="1:10">
      <c r="A59" s="4">
        <f>5*A57</f>
        <v>500</v>
      </c>
      <c r="B59" s="27">
        <f t="shared" si="9"/>
        <v>1.6005578614348212E-7</v>
      </c>
      <c r="C59" s="6">
        <f t="shared" si="10"/>
        <v>82.634195338119682</v>
      </c>
      <c r="D59" s="11">
        <f t="shared" si="11"/>
        <v>3.0675918636263937E-2</v>
      </c>
      <c r="E59" s="41">
        <f t="shared" si="12"/>
        <v>3.0673068265478037E-2</v>
      </c>
      <c r="G59" s="23">
        <f t="shared" si="13"/>
        <v>4.1987165445116163E-11</v>
      </c>
      <c r="H59" s="24">
        <f t="shared" si="14"/>
        <v>0.6512219089063539</v>
      </c>
      <c r="I59" s="24">
        <f t="shared" si="15"/>
        <v>1.1760487900086878</v>
      </c>
      <c r="J59" s="11">
        <f t="shared" si="16"/>
        <v>3.9886065270994541E-8</v>
      </c>
    </row>
    <row r="60" spans="1:10">
      <c r="A60" s="69">
        <f>10*A57</f>
        <v>1000</v>
      </c>
      <c r="B60" s="27">
        <f t="shared" si="9"/>
        <v>5.6473014901298463E-18</v>
      </c>
      <c r="C60" s="6">
        <f t="shared" si="10"/>
        <v>37.087596837864623</v>
      </c>
      <c r="D60" s="11">
        <f t="shared" si="11"/>
        <v>3.9877330661321021E-2</v>
      </c>
      <c r="E60" s="41">
        <f t="shared" si="12"/>
        <v>3.987605226845331E-2</v>
      </c>
      <c r="G60" s="23">
        <f t="shared" si="13"/>
        <v>1.4814471110214769E-21</v>
      </c>
      <c r="H60" s="24">
        <f t="shared" si="14"/>
        <v>0.29227918915018303</v>
      </c>
      <c r="I60" s="24">
        <f t="shared" si="15"/>
        <v>1.5288111508283315</v>
      </c>
      <c r="J60" s="11">
        <f t="shared" si="16"/>
        <v>5.1853267816679267E-8</v>
      </c>
    </row>
    <row r="61" spans="1:10">
      <c r="A61" s="4">
        <f>2*A60</f>
        <v>2000</v>
      </c>
      <c r="B61" s="27">
        <f t="shared" si="9"/>
        <v>7.0304020820337338E-39</v>
      </c>
      <c r="C61" s="6">
        <f t="shared" si="10"/>
        <v>7.4707890735131732</v>
      </c>
      <c r="D61" s="11">
        <f t="shared" si="11"/>
        <v>4.5850222374232676E-2</v>
      </c>
      <c r="E61" s="41">
        <f t="shared" si="12"/>
        <v>4.5849966164207959E-2</v>
      </c>
      <c r="G61" s="23">
        <f t="shared" si="13"/>
        <v>1.8442735653393954E-42</v>
      </c>
      <c r="H61" s="24">
        <f t="shared" si="14"/>
        <v>5.8875644659973581E-2</v>
      </c>
      <c r="I61" s="24">
        <f t="shared" si="15"/>
        <v>1.757798981807863</v>
      </c>
      <c r="J61" s="11">
        <f t="shared" si="16"/>
        <v>5.9621513155132956E-8</v>
      </c>
    </row>
    <row r="62" spans="1:10">
      <c r="A62" s="4">
        <f>5*A60</f>
        <v>5000</v>
      </c>
      <c r="B62" s="27">
        <f t="shared" si="9"/>
        <v>1.3564310850585197E-101</v>
      </c>
      <c r="C62" s="6">
        <f t="shared" si="10"/>
        <v>6.1063236585055192E-2</v>
      </c>
      <c r="D62" s="11">
        <f t="shared" si="11"/>
        <v>4.7302399683449445E-2</v>
      </c>
      <c r="E62" s="41">
        <f t="shared" si="12"/>
        <v>4.7302399208330514E-2</v>
      </c>
      <c r="G62" s="23">
        <f t="shared" si="13"/>
        <v>3.5583028739864001E-105</v>
      </c>
      <c r="H62" s="24">
        <f t="shared" si="14"/>
        <v>4.8122592989751994E-4</v>
      </c>
      <c r="I62" s="24">
        <f t="shared" si="15"/>
        <v>1.81347233873754</v>
      </c>
      <c r="J62" s="11">
        <f t="shared" si="16"/>
        <v>6.1510200608837181E-8</v>
      </c>
    </row>
    <row r="63" spans="1:10">
      <c r="A63" s="69">
        <f>10*A60</f>
        <v>10000</v>
      </c>
      <c r="B63" s="27">
        <f>D$11*2^(-A63/E$3)/$C$16+0.000000000000000001</f>
        <v>1.0000000000000001E-18</v>
      </c>
      <c r="C63" s="6">
        <f t="shared" si="10"/>
        <v>2.0252037739721194E-5</v>
      </c>
      <c r="D63" s="11">
        <f t="shared" si="11"/>
        <v>4.7238177642270014E-2</v>
      </c>
      <c r="E63" s="41">
        <f t="shared" si="12"/>
        <v>4.7238179271324184E-2</v>
      </c>
      <c r="G63" s="23">
        <f t="shared" si="13"/>
        <v>2.623283197489452E-22</v>
      </c>
      <c r="H63" s="24">
        <f t="shared" si="14"/>
        <v>1.5960185274558831E-7</v>
      </c>
      <c r="I63" s="24">
        <f t="shared" si="15"/>
        <v>1.8110102037085447</v>
      </c>
      <c r="J63" s="11">
        <f t="shared" si="16"/>
        <v>6.1426691499902794E-8</v>
      </c>
    </row>
    <row r="64" spans="1:10">
      <c r="A64" s="4">
        <f>2*A63</f>
        <v>20000</v>
      </c>
      <c r="B64" s="27">
        <f>D$11*2^(-A64/E$3)/$C$16+0.000000000000000001</f>
        <v>1.0000000000000001E-18</v>
      </c>
      <c r="C64" s="6">
        <f t="shared" si="10"/>
        <v>2.2276478828451204E-12</v>
      </c>
      <c r="D64" s="11">
        <f t="shared" si="11"/>
        <v>4.7085424530063209E-2</v>
      </c>
      <c r="E64" s="41">
        <f t="shared" si="12"/>
        <v>4.7085426154546105E-2</v>
      </c>
      <c r="G64" s="23">
        <f t="shared" si="13"/>
        <v>2.623283197489452E-22</v>
      </c>
      <c r="H64" s="24">
        <f t="shared" si="14"/>
        <v>1.7555602746559122E-14</v>
      </c>
      <c r="I64" s="24">
        <f t="shared" si="15"/>
        <v>1.8051539776925942</v>
      </c>
      <c r="J64" s="11">
        <f t="shared" si="16"/>
        <v>6.1228057286545812E-8</v>
      </c>
    </row>
    <row r="65" spans="1:10">
      <c r="A65" s="4">
        <f>5*A63</f>
        <v>50000</v>
      </c>
      <c r="B65" s="27">
        <f>D$11*2^(-A65/E$3)/$C$16+0.000000000000000001</f>
        <v>1.0000000000000001E-18</v>
      </c>
      <c r="C65" s="6">
        <f t="shared" si="10"/>
        <v>2.9646948127017601E-33</v>
      </c>
      <c r="D65" s="11">
        <f t="shared" si="11"/>
        <v>4.663011041063584E-2</v>
      </c>
      <c r="E65" s="41">
        <f t="shared" si="12"/>
        <v>4.6630112019410058E-2</v>
      </c>
      <c r="G65" s="23">
        <f t="shared" si="13"/>
        <v>2.623283197489452E-22</v>
      </c>
      <c r="H65" s="24">
        <f t="shared" si="14"/>
        <v>2.3364107405566675E-35</v>
      </c>
      <c r="I65" s="24">
        <f t="shared" si="15"/>
        <v>1.7876982129418877</v>
      </c>
      <c r="J65" s="11">
        <f t="shared" si="16"/>
        <v>6.0635984489795885E-8</v>
      </c>
    </row>
    <row r="66" spans="1:10">
      <c r="A66" s="70">
        <f>10*A63</f>
        <v>100000</v>
      </c>
      <c r="B66" s="37">
        <f>D$11*2^(-A66/E$3)/$C$16+0.000000000000000001</f>
        <v>1.0000000000000001E-18</v>
      </c>
      <c r="C66" s="8">
        <f t="shared" si="10"/>
        <v>4.7738533689297402E-68</v>
      </c>
      <c r="D66" s="12">
        <f t="shared" si="11"/>
        <v>4.5881016655892677E-2</v>
      </c>
      <c r="E66" s="42">
        <f t="shared" si="12"/>
        <v>4.5881018238822589E-2</v>
      </c>
      <c r="G66" s="38">
        <f t="shared" si="13"/>
        <v>2.623283197489452E-22</v>
      </c>
      <c r="H66" s="25">
        <f t="shared" si="14"/>
        <v>3.7621687862183705E-70</v>
      </c>
      <c r="I66" s="25">
        <f t="shared" si="15"/>
        <v>1.7589795683818088</v>
      </c>
      <c r="J66" s="12">
        <f t="shared" si="16"/>
        <v>5.9661892065522988E-8</v>
      </c>
    </row>
  </sheetData>
  <mergeCells count="5">
    <mergeCell ref="B9:E9"/>
    <mergeCell ref="B46:D46"/>
    <mergeCell ref="F46:H46"/>
    <mergeCell ref="B19:E19"/>
    <mergeCell ref="G19:J19"/>
  </mergeCells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E26" sqref="E26"/>
    </sheetView>
  </sheetViews>
  <sheetFormatPr baseColWidth="10" defaultRowHeight="13" x14ac:dyDescent="0"/>
  <cols>
    <col min="2" max="7" width="10.7109375" style="19"/>
  </cols>
  <sheetData>
    <row r="1" spans="2:8">
      <c r="B1" s="19" t="s">
        <v>23</v>
      </c>
      <c r="C1" s="19">
        <v>1000</v>
      </c>
    </row>
    <row r="2" spans="2:8" ht="14">
      <c r="B2" s="19" t="s">
        <v>24</v>
      </c>
      <c r="C2" s="19">
        <v>10</v>
      </c>
    </row>
    <row r="3" spans="2:8" ht="14">
      <c r="B3" s="19" t="s">
        <v>25</v>
      </c>
      <c r="C3" s="19">
        <v>8</v>
      </c>
    </row>
    <row r="4" spans="2:8" ht="14">
      <c r="B4" s="19" t="s">
        <v>26</v>
      </c>
      <c r="C4" s="19">
        <v>4</v>
      </c>
    </row>
    <row r="5" spans="2:8" ht="14">
      <c r="B5" s="19" t="s">
        <v>27</v>
      </c>
      <c r="C5" s="19">
        <v>2</v>
      </c>
    </row>
    <row r="6" spans="2:8" ht="14">
      <c r="B6" s="19" t="s">
        <v>28</v>
      </c>
      <c r="C6" s="19">
        <v>1</v>
      </c>
    </row>
    <row r="11" spans="2:8">
      <c r="B11" s="19" t="s">
        <v>21</v>
      </c>
      <c r="C11" s="19">
        <v>0</v>
      </c>
      <c r="D11" s="19">
        <v>1</v>
      </c>
      <c r="E11" s="19">
        <v>2</v>
      </c>
      <c r="F11" s="19">
        <v>3</v>
      </c>
      <c r="G11" s="19">
        <v>4</v>
      </c>
    </row>
    <row r="12" spans="2:8">
      <c r="B12" s="19" t="s">
        <v>22</v>
      </c>
    </row>
    <row r="13" spans="2:8">
      <c r="B13" s="19">
        <v>0</v>
      </c>
    </row>
    <row r="14" spans="2:8">
      <c r="B14" s="19">
        <v>1</v>
      </c>
      <c r="C14" s="19">
        <f>-$C$1*C3/(C2-C3)</f>
        <v>-4000</v>
      </c>
      <c r="D14" s="19">
        <f>-$C$1*C3/(C3-C2)</f>
        <v>4000</v>
      </c>
      <c r="H14" s="28">
        <f>C14+D14+E14+F14+G14</f>
        <v>0</v>
      </c>
    </row>
    <row r="15" spans="2:8">
      <c r="B15" s="19">
        <v>2</v>
      </c>
      <c r="C15" s="28">
        <f>$C$1*C3*C4/((C2-C4)*(C2-C3))</f>
        <v>2666.6666666666665</v>
      </c>
      <c r="D15" s="19">
        <f>$C$1*C3*C4/((C3-C4)*(C3-C2))</f>
        <v>-4000</v>
      </c>
      <c r="E15" s="28">
        <f>$C$1*C3*C4/((C4-C3)*(C4-C2))</f>
        <v>1333.3333333333333</v>
      </c>
      <c r="H15" s="28">
        <f>C15+D15+E15+F15+G15</f>
        <v>-2.2737367544323206E-13</v>
      </c>
    </row>
    <row r="16" spans="2:8">
      <c r="B16" s="19">
        <v>3</v>
      </c>
      <c r="C16" s="28">
        <f>-$C$1*C3*C4*C5/((C2-C5)*(C2-C4)*(C2-C3))</f>
        <v>-666.66666666666663</v>
      </c>
      <c r="D16" s="28">
        <f>-$C$1*C3*C4*C5/((C3-C5)*(C3-C4)*(C3-C2))</f>
        <v>1333.3333333333333</v>
      </c>
      <c r="E16" s="28">
        <f>-$C$1*C3*C4*C5/((C4-C5)*(C4-C3)*(C4-C2))</f>
        <v>-1333.3333333333333</v>
      </c>
      <c r="F16" s="28">
        <f>-$C$1*C3*C4*C5/((C5-C4)*(C5-C3)*(C5-C2))</f>
        <v>666.66666666666663</v>
      </c>
      <c r="H16" s="28">
        <f>C16+D16+E16+F16+G16</f>
        <v>0</v>
      </c>
    </row>
    <row r="17" spans="2:8">
      <c r="B17" s="19">
        <v>4</v>
      </c>
      <c r="C17" s="28">
        <f>$C$1*C3*C4*C5*C6/((C2-C6)*(C2-C5)*(C2-C4)*(C2-C3))</f>
        <v>74.074074074074076</v>
      </c>
      <c r="D17" s="28">
        <f>$C$1*C3*C4*C5*C6/((C3-C6)*(C3-C5)*(C3-C4)*(C3-C2))</f>
        <v>-190.47619047619048</v>
      </c>
      <c r="E17" s="28">
        <f>$C$1*C3*C4*C5*C6/((C4-C6)*(C4-C5)*(C4-C3)*(C4-C2))</f>
        <v>444.44444444444446</v>
      </c>
      <c r="F17" s="28">
        <f>$C$1*C3*C4*C5*C6/((C5-C6)*(C5-C4)*(C5-C3)*(C5-C2))</f>
        <v>-666.66666666666663</v>
      </c>
      <c r="G17" s="28">
        <f>$C$1*C3*C4*C5*C6/((C6-C5)*(C6-C4)*(C6-C3)*(C6-C2))</f>
        <v>338.62433862433863</v>
      </c>
      <c r="H17" s="28">
        <f>C17+D17+E17+F17+G17</f>
        <v>0</v>
      </c>
    </row>
  </sheetData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</vt:vector>
  </HeadingPairs>
  <TitlesOfParts>
    <vt:vector size="8" baseType="lpstr">
      <vt:lpstr>Calculs </vt:lpstr>
      <vt:lpstr>Feuil2</vt:lpstr>
      <vt:lpstr>Feuil3</vt:lpstr>
      <vt:lpstr>Feuil1</vt:lpstr>
      <vt:lpstr>Masses (log T)</vt:lpstr>
      <vt:lpstr>Masses</vt:lpstr>
      <vt:lpstr>Activites (log)</vt:lpstr>
      <vt:lpstr>Activites</vt:lpstr>
    </vt:vector>
  </TitlesOfParts>
  <Company>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lpnhe</dc:creator>
  <cp:lastModifiedBy>Christian de la Vaissière</cp:lastModifiedBy>
  <dcterms:created xsi:type="dcterms:W3CDTF">2008-01-15T21:56:53Z</dcterms:created>
  <dcterms:modified xsi:type="dcterms:W3CDTF">2022-04-20T20:15:48Z</dcterms:modified>
</cp:coreProperties>
</file>